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defaultThemeVersion="124226"/>
  <mc:AlternateContent xmlns:mc="http://schemas.openxmlformats.org/markup-compatibility/2006">
    <mc:Choice Requires="x15">
      <x15ac:absPath xmlns:x15ac="http://schemas.microsoft.com/office/spreadsheetml/2010/11/ac" url="I:\Product Information\Viessmann\Heat Pumps\Vitocal 200 222-A\Technical Information\Deap Heat Pump Tools\"/>
    </mc:Choice>
  </mc:AlternateContent>
  <xr:revisionPtr revIDLastSave="0" documentId="13_ncr:1_{7CA84FAD-65F3-4A04-852A-F74A2181A469}" xr6:coauthVersionLast="43" xr6:coauthVersionMax="43" xr10:uidLastSave="{00000000-0000-0000-0000-000000000000}"/>
  <bookViews>
    <workbookView xWindow="28680" yWindow="-120" windowWidth="29040" windowHeight="15840" xr2:uid="{00000000-000D-0000-FFFF-FFFF00000000}"/>
  </bookViews>
  <sheets>
    <sheet name="Input Sheet" sheetId="1" r:id="rId1"/>
    <sheet name="Heating Calc" sheetId="2" r:id="rId2"/>
    <sheet name="DHW Calc" sheetId="6" r:id="rId3"/>
    <sheet name="Meteorological data" sheetId="4" r:id="rId4"/>
  </sheets>
  <externalReferences>
    <externalReference r:id="rId5"/>
    <externalReference r:id="rId6"/>
    <externalReference r:id="rId7"/>
  </externalReferences>
  <definedNames>
    <definedName name="_40">[1]Calculation!#REF!</definedName>
    <definedName name="_41">#REF!</definedName>
    <definedName name="_41a">#REF!</definedName>
    <definedName name="_42">#REF!</definedName>
    <definedName name="_43">#REF!</definedName>
    <definedName name="_44">#REF!</definedName>
    <definedName name="_44a">#REF!</definedName>
    <definedName name="_44b">#REF!</definedName>
    <definedName name="_45">[1]Calculation!$AE$28</definedName>
    <definedName name="_49">[1]Calculation!#REF!</definedName>
    <definedName name="_58">[1]Calculation!#REF!</definedName>
    <definedName name="_A">[1]Calculation!$Z$1:$Z$65536</definedName>
    <definedName name="_Act_occ">[1]Calculator!$L$37</definedName>
    <definedName name="_B">[1]Calculation!$AA$1:$AA$65536</definedName>
    <definedName name="_Backup_eff">[1]Calculator!$L$92</definedName>
    <definedName name="_C">[1]Calculation!$AB$1:$AB$65536</definedName>
    <definedName name="_cyl_loss">[1]Calculator!$L$34</definedName>
    <definedName name="_eshower">[1]Calculation!#REF!</definedName>
    <definedName name="_xlnm._FilterDatabase" localSheetId="2" hidden="1">'DHW Calc'!$L$1:$N$4</definedName>
    <definedName name="_xlnm._FilterDatabase" localSheetId="1" hidden="1">'Heating Calc'!$A$1:$AD$56</definedName>
    <definedName name="_xlnm._FilterDatabase" localSheetId="3" hidden="1">'Meteorological data'!$J$1:$L$1</definedName>
    <definedName name="_H1">[1]Calculator!$F$15</definedName>
    <definedName name="_H10">[1]Calculation!$AI$1:$AI$65536</definedName>
    <definedName name="_H11">[1]Calculator!$F$27</definedName>
    <definedName name="_H12">[1]Calculator!$F$26</definedName>
    <definedName name="_H13">[1]Calculation!$AJ$1:$AJ$65536</definedName>
    <definedName name="_H14">[1]Calculation!$AD$28</definedName>
    <definedName name="_H15">[1]Calculation!$AK$1:$AK$65536</definedName>
    <definedName name="_H16">[1]Calculation!$AL$1:$AL$65536</definedName>
    <definedName name="_H2">[1]Calculator!$F$16</definedName>
    <definedName name="_H3">[1]Calculator!$F$17</definedName>
    <definedName name="_H3a">[1]Calculator!$F$18</definedName>
    <definedName name="_H3b">[1]Calculation!$AI$14</definedName>
    <definedName name="_H4">[1]Calculation!$AI$15</definedName>
    <definedName name="_H5">[1]Calculation!$N$1:$N$65536</definedName>
    <definedName name="_H6">[1]Calculator!$J$58</definedName>
    <definedName name="_H7">[1]Calculation!$AF$1:$AF$65536</definedName>
    <definedName name="_H8">[1]Calculation!$AG$28</definedName>
    <definedName name="_H9">[1]Calculation!$AH$1:$AH$65536</definedName>
    <definedName name="_HOT">[1]Calculator!$F$54</definedName>
    <definedName name="_IAM">[1]Calculator!$K$14</definedName>
    <definedName name="_IAM_L">[1]Calculator!$F$21</definedName>
    <definedName name="_IAM_T">[1]Calculator!$F$20</definedName>
    <definedName name="_K_Table">[1]Calculation!$B$86:$GA$96</definedName>
    <definedName name="_k1">[1]Calculation!$P$1:$P$65536</definedName>
    <definedName name="_k2">[1]Calculation!$Q$1:$Q$65536</definedName>
    <definedName name="_k3">[1]Calculation!$R$1:$R$65536</definedName>
    <definedName name="_k4">[1]Calculation!$S$1:$S$65536</definedName>
    <definedName name="_k5">[1]Calculation!$T$1:$T$65536</definedName>
    <definedName name="_k6">[1]Calculation!$U$1:$U$65536</definedName>
    <definedName name="_k7">[1]Calculation!$V$1:$V$65536</definedName>
    <definedName name="_k8">[1]Calculation!$W$1:$W$65536</definedName>
    <definedName name="_k9">[1]Calculation!$X$1:$X$65536</definedName>
    <definedName name="_LAT">[1]Calculation!$F$12</definedName>
    <definedName name="_LAT_rad">[1]Calculation!$F$13</definedName>
    <definedName name="_Low">[1]Calculation!#REF!</definedName>
    <definedName name="_MCS">[1]Calculation!#REF!</definedName>
    <definedName name="_N">[1]Calculator!$F$37</definedName>
    <definedName name="_Orient">[1]Calculator!$F$49</definedName>
    <definedName name="_Overshade">[1]Calculator!$E$53</definedName>
    <definedName name="_p">[1]Calculation!#REF!</definedName>
    <definedName name="_Pitch">[1]Calculator!$F$50</definedName>
    <definedName name="_primary">[1]Calculation!#REF!</definedName>
    <definedName name="_Pump">[1]Calculation!#REF!</definedName>
    <definedName name="_Qs">[1]Calculation!$AM$28</definedName>
    <definedName name="_radians">[1]Calculation!$Y$1:$Y$65536</definedName>
    <definedName name="_REGION">[1]Calculator!$F$51</definedName>
    <definedName name="_solar_saving">[1]Calculation!#REF!</definedName>
    <definedName name="_Standard_occ">[1]Calculator!$L$38</definedName>
    <definedName name="_TFA">[1]Calculator!$F$48</definedName>
    <definedName name="AUX">[1]Calculation!#REF!</definedName>
    <definedName name="emissions">[1]Calculation!#REF!</definedName>
    <definedName name="INS">#REF!</definedName>
    <definedName name="Mains_Gas">#REF!</definedName>
    <definedName name="Project">[1]Calculation!#REF!</definedName>
    <definedName name="PUMP">#REF!</definedName>
    <definedName name="QH_gen_out">'[2]Climate Data'!$D$14</definedName>
    <definedName name="QW_gen_out">'[2]Climate Data'!$D$15</definedName>
    <definedName name="sd">#REF!</definedName>
    <definedName name="SEDBUK">[1]Calculation!#REF!</definedName>
    <definedName name="ValidDelete">[3]Zone1!$L$1:$L$2</definedName>
    <definedName name="ValidOptions">[3]Zone1!#REF!</definedName>
    <definedName name="θe_design">'[2]Climate Data'!$E$19</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7" i="6" l="1"/>
  <c r="T8" i="6"/>
  <c r="T9" i="6"/>
  <c r="T10" i="6"/>
  <c r="T11" i="6"/>
  <c r="T12" i="6"/>
  <c r="S7" i="6"/>
  <c r="S8" i="6"/>
  <c r="S9" i="6"/>
  <c r="S10" i="6"/>
  <c r="S11" i="6"/>
  <c r="S12" i="6"/>
  <c r="X2" i="1"/>
  <c r="D6" i="2"/>
  <c r="E6" i="2"/>
  <c r="F6" i="2"/>
  <c r="G6" i="2"/>
  <c r="B107" i="1"/>
  <c r="C106" i="1"/>
  <c r="A106" i="1"/>
  <c r="B6" i="6"/>
  <c r="V3" i="6"/>
  <c r="U3" i="6"/>
  <c r="V9" i="6"/>
  <c r="U11" i="6"/>
  <c r="U4" i="6"/>
  <c r="V10" i="6"/>
  <c r="U12" i="6"/>
  <c r="B3" i="6"/>
  <c r="U8" i="6"/>
  <c r="V4" i="6"/>
  <c r="V5" i="6"/>
  <c r="U5" i="6"/>
  <c r="V11" i="6"/>
  <c r="V7" i="6"/>
  <c r="U6" i="6"/>
  <c r="V12" i="6"/>
  <c r="V8" i="6"/>
  <c r="U10" i="6"/>
  <c r="V6" i="6"/>
  <c r="B8" i="6"/>
  <c r="B7" i="6"/>
  <c r="D25" i="2"/>
  <c r="E25" i="2"/>
  <c r="C30" i="2"/>
  <c r="C28" i="2"/>
  <c r="C29" i="2"/>
  <c r="C25" i="2"/>
  <c r="C17" i="2"/>
  <c r="C3" i="2"/>
  <c r="C6" i="2"/>
  <c r="C21" i="2"/>
  <c r="D44" i="1"/>
  <c r="AN1" i="1"/>
  <c r="B47" i="6"/>
  <c r="B49" i="6"/>
  <c r="C74" i="1"/>
  <c r="B10" i="6"/>
  <c r="B9" i="6"/>
  <c r="B5" i="6"/>
  <c r="B17" i="1"/>
  <c r="C47" i="2"/>
  <c r="B124" i="1"/>
  <c r="B66" i="1"/>
  <c r="B19" i="6"/>
  <c r="B72" i="6"/>
  <c r="B75" i="6"/>
  <c r="B68" i="1"/>
  <c r="B44" i="6"/>
  <c r="B50" i="1"/>
  <c r="S43" i="2"/>
  <c r="B14" i="6"/>
  <c r="B16" i="6"/>
  <c r="B37" i="1"/>
  <c r="D4" i="4"/>
  <c r="E4" i="4"/>
  <c r="A5" i="4"/>
  <c r="A6" i="4"/>
  <c r="D6" i="4"/>
  <c r="D23" i="2"/>
  <c r="E23" i="2"/>
  <c r="C8" i="4"/>
  <c r="C4" i="4"/>
  <c r="C14" i="4"/>
  <c r="C20" i="4"/>
  <c r="C25" i="4"/>
  <c r="C51" i="4"/>
  <c r="G9" i="2"/>
  <c r="G4" i="4"/>
  <c r="Q4" i="2"/>
  <c r="B44" i="1"/>
  <c r="B47" i="1"/>
  <c r="C24" i="2"/>
  <c r="C23" i="2"/>
  <c r="C16" i="2"/>
  <c r="C15" i="2"/>
  <c r="G5" i="4"/>
  <c r="Q5" i="2"/>
  <c r="G6" i="4"/>
  <c r="Q6" i="2"/>
  <c r="G7" i="4"/>
  <c r="Q7" i="2"/>
  <c r="G8" i="4"/>
  <c r="Q8" i="2"/>
  <c r="D24" i="2"/>
  <c r="D16" i="2"/>
  <c r="D15" i="2"/>
  <c r="D17" i="2"/>
  <c r="G9" i="4"/>
  <c r="Q9" i="2"/>
  <c r="G10" i="4"/>
  <c r="Q10" i="2"/>
  <c r="G11" i="4"/>
  <c r="Q11" i="2"/>
  <c r="G12" i="4"/>
  <c r="Q12" i="2"/>
  <c r="G13" i="4"/>
  <c r="Q13" i="2"/>
  <c r="G14" i="4"/>
  <c r="Q14" i="2"/>
  <c r="E24" i="2"/>
  <c r="E16" i="2"/>
  <c r="E15" i="2"/>
  <c r="E17" i="2"/>
  <c r="G15" i="4"/>
  <c r="Q15" i="2"/>
  <c r="G16" i="4"/>
  <c r="Q16" i="2"/>
  <c r="G17" i="4"/>
  <c r="Q17" i="2"/>
  <c r="G18" i="4"/>
  <c r="Q18" i="2"/>
  <c r="G19" i="4"/>
  <c r="Q19" i="2"/>
  <c r="G20" i="4"/>
  <c r="Q20" i="2"/>
  <c r="G21" i="4"/>
  <c r="Q21" i="2"/>
  <c r="F24" i="2"/>
  <c r="F25" i="2"/>
  <c r="F23" i="2"/>
  <c r="F16" i="2"/>
  <c r="F15" i="2"/>
  <c r="F17" i="2"/>
  <c r="G22" i="4"/>
  <c r="Q22" i="2"/>
  <c r="G23" i="4"/>
  <c r="Q23" i="2"/>
  <c r="G24" i="4"/>
  <c r="Q24" i="2"/>
  <c r="G25" i="4"/>
  <c r="Q25" i="2"/>
  <c r="G26" i="4"/>
  <c r="Q26" i="2"/>
  <c r="G24" i="2"/>
  <c r="G25" i="2"/>
  <c r="G23" i="2"/>
  <c r="G16" i="2"/>
  <c r="G15" i="2"/>
  <c r="G17" i="2"/>
  <c r="G27" i="4"/>
  <c r="Q27" i="2"/>
  <c r="G28" i="4"/>
  <c r="Q28" i="2"/>
  <c r="G29" i="4"/>
  <c r="Q29" i="2"/>
  <c r="G30" i="4"/>
  <c r="Q30" i="2"/>
  <c r="G31" i="4"/>
  <c r="Q31" i="2"/>
  <c r="C20" i="2"/>
  <c r="C19" i="2"/>
  <c r="D38" i="2"/>
  <c r="D20" i="2"/>
  <c r="D21" i="2"/>
  <c r="D19" i="2"/>
  <c r="E38" i="2"/>
  <c r="E20" i="2"/>
  <c r="E21" i="2"/>
  <c r="E19" i="2"/>
  <c r="F38" i="2"/>
  <c r="F20" i="2"/>
  <c r="F21" i="2"/>
  <c r="F19" i="2"/>
  <c r="G38" i="2"/>
  <c r="G20" i="2"/>
  <c r="G21" i="2"/>
  <c r="G19" i="2"/>
  <c r="C78" i="1"/>
  <c r="D78" i="1"/>
  <c r="AN2" i="1"/>
  <c r="B73" i="6"/>
  <c r="B61" i="1"/>
  <c r="O5" i="2"/>
  <c r="O6" i="2"/>
  <c r="O7" i="2"/>
  <c r="O8" i="2"/>
  <c r="O9" i="2"/>
  <c r="O10" i="2"/>
  <c r="O11" i="2"/>
  <c r="C14" i="2"/>
  <c r="G92" i="1"/>
  <c r="G88" i="1"/>
  <c r="G84" i="1"/>
  <c r="G80" i="1"/>
  <c r="B54" i="1"/>
  <c r="B56" i="1"/>
  <c r="B126" i="1"/>
  <c r="G93" i="1"/>
  <c r="F93" i="1"/>
  <c r="E93" i="1"/>
  <c r="D93" i="1"/>
  <c r="C93" i="1"/>
  <c r="F92" i="1"/>
  <c r="E92" i="1"/>
  <c r="D92" i="1"/>
  <c r="C92" i="1"/>
  <c r="G89" i="1"/>
  <c r="F89" i="1"/>
  <c r="E89" i="1"/>
  <c r="D89" i="1"/>
  <c r="C89" i="1"/>
  <c r="G85" i="1"/>
  <c r="F85" i="1"/>
  <c r="E85" i="1"/>
  <c r="D85" i="1"/>
  <c r="C85" i="1"/>
  <c r="F84" i="1"/>
  <c r="E84" i="1"/>
  <c r="D84" i="1"/>
  <c r="C84" i="1"/>
  <c r="F88" i="1"/>
  <c r="E88" i="1"/>
  <c r="D88" i="1"/>
  <c r="C88" i="1"/>
  <c r="G81" i="1"/>
  <c r="F81" i="1"/>
  <c r="E81" i="1"/>
  <c r="D81" i="1"/>
  <c r="C81" i="1"/>
  <c r="C80" i="1"/>
  <c r="F80" i="1"/>
  <c r="E80" i="1"/>
  <c r="D80" i="1"/>
  <c r="C18" i="2"/>
  <c r="D18" i="2"/>
  <c r="E18" i="2"/>
  <c r="F18" i="2"/>
  <c r="G18" i="2"/>
  <c r="D26" i="2"/>
  <c r="E26" i="2"/>
  <c r="F26" i="2"/>
  <c r="G26" i="2"/>
  <c r="C26" i="2"/>
  <c r="C22" i="2"/>
  <c r="D22" i="2"/>
  <c r="E22" i="2"/>
  <c r="F22" i="2"/>
  <c r="G22" i="2"/>
  <c r="E4" i="2"/>
  <c r="F4" i="2"/>
  <c r="G4" i="2"/>
  <c r="F5" i="2"/>
  <c r="E5" i="2"/>
  <c r="D5" i="2"/>
  <c r="B109" i="1"/>
  <c r="B45" i="6"/>
  <c r="U7" i="6"/>
  <c r="C18" i="4"/>
  <c r="G32" i="4"/>
  <c r="Q32" i="2"/>
  <c r="G33" i="4"/>
  <c r="Q33" i="2"/>
  <c r="G34" i="4"/>
  <c r="Q34" i="2"/>
  <c r="G35" i="4"/>
  <c r="Q35" i="2"/>
  <c r="G36" i="4"/>
  <c r="Q36" i="2"/>
  <c r="G37" i="4"/>
  <c r="Q37" i="2"/>
  <c r="G38" i="4"/>
  <c r="Q38" i="2"/>
  <c r="G39" i="4"/>
  <c r="Q39" i="2"/>
  <c r="G40" i="4"/>
  <c r="Q40" i="2"/>
  <c r="G41" i="4"/>
  <c r="Q41" i="2"/>
  <c r="G42" i="4"/>
  <c r="Q42" i="2"/>
  <c r="G43" i="4"/>
  <c r="Q43" i="2"/>
  <c r="G44" i="4"/>
  <c r="Q44" i="2"/>
  <c r="G45" i="4"/>
  <c r="Q45" i="2"/>
  <c r="G46" i="4"/>
  <c r="Q46" i="2"/>
  <c r="G47" i="4"/>
  <c r="Q47" i="2"/>
  <c r="G48" i="4"/>
  <c r="Q48" i="2"/>
  <c r="G49" i="4"/>
  <c r="Q49" i="2"/>
  <c r="G50" i="4"/>
  <c r="Q50" i="2"/>
  <c r="G51" i="4"/>
  <c r="Q51" i="2"/>
  <c r="G52" i="4"/>
  <c r="C24" i="4"/>
  <c r="C26" i="4"/>
  <c r="C27" i="4"/>
  <c r="C28" i="4"/>
  <c r="C29" i="4"/>
  <c r="C30" i="4"/>
  <c r="C31" i="4"/>
  <c r="C32" i="4"/>
  <c r="C33" i="4"/>
  <c r="C34" i="4"/>
  <c r="C35" i="4"/>
  <c r="C36" i="4"/>
  <c r="C37" i="4"/>
  <c r="C38" i="4"/>
  <c r="C39" i="4"/>
  <c r="C40" i="4"/>
  <c r="C41" i="4"/>
  <c r="C42" i="4"/>
  <c r="C43" i="4"/>
  <c r="C44" i="4"/>
  <c r="C45" i="4"/>
  <c r="C46" i="4"/>
  <c r="C47" i="4"/>
  <c r="C48" i="4"/>
  <c r="C49" i="4"/>
  <c r="C50" i="4"/>
  <c r="C5" i="4"/>
  <c r="C6" i="4"/>
  <c r="C7" i="4"/>
  <c r="C9" i="4"/>
  <c r="C10" i="4"/>
  <c r="C11" i="4"/>
  <c r="C12" i="4"/>
  <c r="C13" i="4"/>
  <c r="C15" i="4"/>
  <c r="C16" i="4"/>
  <c r="C17" i="4"/>
  <c r="C19" i="4"/>
  <c r="C21" i="4"/>
  <c r="C22" i="4"/>
  <c r="C23" i="4"/>
  <c r="S39" i="2"/>
  <c r="B59" i="1"/>
  <c r="D5" i="4"/>
  <c r="A7" i="4"/>
  <c r="D7" i="4"/>
  <c r="U9" i="6"/>
  <c r="F9" i="2"/>
  <c r="F10" i="2"/>
  <c r="D9" i="2"/>
  <c r="B35" i="2"/>
  <c r="B48" i="1"/>
  <c r="C48" i="2"/>
  <c r="C49" i="2"/>
  <c r="D4" i="2"/>
  <c r="M4" i="2"/>
  <c r="C38" i="2"/>
  <c r="F31" i="2"/>
  <c r="S8" i="2"/>
  <c r="S18" i="2"/>
  <c r="S49" i="2"/>
  <c r="C9" i="2"/>
  <c r="C10" i="2"/>
  <c r="B43" i="6"/>
  <c r="D43" i="1"/>
  <c r="D45" i="1"/>
  <c r="F35" i="2"/>
  <c r="G31" i="2"/>
  <c r="D33" i="2"/>
  <c r="S5" i="2"/>
  <c r="B21" i="6"/>
  <c r="S6" i="2"/>
  <c r="S35" i="2"/>
  <c r="S10" i="2"/>
  <c r="S47" i="2"/>
  <c r="S22" i="2"/>
  <c r="S9" i="2"/>
  <c r="S11" i="2"/>
  <c r="S23" i="2"/>
  <c r="S37" i="2"/>
  <c r="S38" i="2"/>
  <c r="S28" i="2"/>
  <c r="S30" i="2"/>
  <c r="S50" i="2"/>
  <c r="S42" i="2"/>
  <c r="G10" i="2"/>
  <c r="S19" i="2"/>
  <c r="S45" i="2"/>
  <c r="S46" i="2"/>
  <c r="S21" i="2"/>
  <c r="S32" i="2"/>
  <c r="S24" i="2"/>
  <c r="S33" i="2"/>
  <c r="S14" i="2"/>
  <c r="S13" i="2"/>
  <c r="S29" i="2"/>
  <c r="S40" i="2"/>
  <c r="S41" i="2"/>
  <c r="S31" i="2"/>
  <c r="S44" i="2"/>
  <c r="S25" i="2"/>
  <c r="E31" i="2"/>
  <c r="C31" i="2"/>
  <c r="F33" i="2"/>
  <c r="B31" i="2"/>
  <c r="G33" i="2"/>
  <c r="E33" i="2"/>
  <c r="C35" i="2"/>
  <c r="D35" i="2"/>
  <c r="D31" i="2"/>
  <c r="B33" i="2"/>
  <c r="C33" i="2"/>
  <c r="G35" i="2"/>
  <c r="E35" i="2"/>
  <c r="AN3" i="1"/>
  <c r="D32" i="2"/>
  <c r="C32" i="2"/>
  <c r="C36" i="2"/>
  <c r="E34" i="2"/>
  <c r="F36" i="2"/>
  <c r="G34" i="2"/>
  <c r="B32" i="2"/>
  <c r="F32" i="2"/>
  <c r="B46" i="1"/>
  <c r="F37" i="2"/>
  <c r="B79" i="6"/>
  <c r="B20" i="6"/>
  <c r="B71" i="6"/>
  <c r="B77" i="6"/>
  <c r="B12" i="6"/>
  <c r="V14" i="6"/>
  <c r="D34" i="2"/>
  <c r="E36" i="2"/>
  <c r="C5" i="2"/>
  <c r="G32" i="2"/>
  <c r="C34" i="2"/>
  <c r="E32" i="2"/>
  <c r="D36" i="2"/>
  <c r="O12" i="2"/>
  <c r="O13" i="2"/>
  <c r="D10" i="2"/>
  <c r="A8" i="4"/>
  <c r="E6" i="4"/>
  <c r="B48" i="6"/>
  <c r="B51" i="6"/>
  <c r="B4" i="6"/>
  <c r="B15" i="6"/>
  <c r="B17" i="6"/>
  <c r="A102" i="1"/>
  <c r="E7" i="4"/>
  <c r="E5" i="4"/>
  <c r="B36" i="2"/>
  <c r="F34" i="2"/>
  <c r="G36" i="2"/>
  <c r="B34" i="2"/>
  <c r="E9" i="2"/>
  <c r="E10" i="2"/>
  <c r="S27" i="2"/>
  <c r="S4" i="2"/>
  <c r="S20" i="2"/>
  <c r="S34" i="2"/>
  <c r="S48" i="2"/>
  <c r="S16" i="2"/>
  <c r="S17" i="2"/>
  <c r="S36" i="2"/>
  <c r="S51" i="2"/>
  <c r="S26" i="2"/>
  <c r="S15" i="2"/>
  <c r="S7" i="2"/>
  <c r="S12" i="2"/>
  <c r="B22" i="6"/>
  <c r="B23" i="6"/>
  <c r="B27" i="6"/>
  <c r="W11" i="2"/>
  <c r="E39" i="2"/>
  <c r="E41" i="2"/>
  <c r="X18" i="2"/>
  <c r="D39" i="2"/>
  <c r="D41" i="2"/>
  <c r="X9" i="2"/>
  <c r="C37" i="2"/>
  <c r="F39" i="2"/>
  <c r="F41" i="2"/>
  <c r="E37" i="2"/>
  <c r="G37" i="2"/>
  <c r="C39" i="2"/>
  <c r="C41" i="2"/>
  <c r="N4" i="2"/>
  <c r="D37" i="2"/>
  <c r="W4" i="2"/>
  <c r="G39" i="2"/>
  <c r="G41" i="2"/>
  <c r="U14" i="6"/>
  <c r="D114" i="1"/>
  <c r="B61" i="6"/>
  <c r="H10" i="2"/>
  <c r="C11" i="2"/>
  <c r="B53" i="6"/>
  <c r="B55" i="6"/>
  <c r="B57" i="6"/>
  <c r="B59" i="6"/>
  <c r="W12" i="2"/>
  <c r="W9" i="2"/>
  <c r="W5" i="2"/>
  <c r="W10" i="2"/>
  <c r="W7" i="2"/>
  <c r="W6" i="2"/>
  <c r="C43" i="2"/>
  <c r="W8" i="2"/>
  <c r="B81" i="6"/>
  <c r="B83" i="6"/>
  <c r="B85" i="6"/>
  <c r="B87" i="6"/>
  <c r="B26" i="6"/>
  <c r="C50" i="2"/>
  <c r="D50" i="2"/>
  <c r="F51" i="2"/>
  <c r="E50" i="2"/>
  <c r="F50" i="2"/>
  <c r="E51" i="2"/>
  <c r="A9" i="4"/>
  <c r="D8" i="4"/>
  <c r="O14" i="2"/>
  <c r="W13" i="2"/>
  <c r="G50" i="2"/>
  <c r="C51" i="2"/>
  <c r="G51" i="2"/>
  <c r="D51" i="2"/>
  <c r="H9" i="2"/>
  <c r="B54" i="6"/>
  <c r="B25" i="6"/>
  <c r="B28" i="6"/>
  <c r="B30" i="6"/>
  <c r="B125" i="1"/>
  <c r="B34" i="6"/>
  <c r="C44" i="2"/>
  <c r="F46" i="2"/>
  <c r="F53" i="2"/>
  <c r="F55" i="2"/>
  <c r="J47" i="2"/>
  <c r="AI24" i="2"/>
  <c r="E11" i="2"/>
  <c r="E12" i="2"/>
  <c r="X23" i="2"/>
  <c r="X28" i="2"/>
  <c r="X4" i="2"/>
  <c r="X7" i="2"/>
  <c r="X8" i="2"/>
  <c r="X5" i="2"/>
  <c r="X6" i="2"/>
  <c r="F11" i="2"/>
  <c r="F12" i="2"/>
  <c r="D11" i="2"/>
  <c r="D12" i="2"/>
  <c r="G11" i="2"/>
  <c r="G12" i="2"/>
  <c r="C12" i="2"/>
  <c r="E8" i="4"/>
  <c r="B63" i="6"/>
  <c r="B65" i="6"/>
  <c r="B67" i="6"/>
  <c r="O15" i="2"/>
  <c r="W14" i="2"/>
  <c r="A10" i="4"/>
  <c r="D9" i="4"/>
  <c r="B36" i="6"/>
  <c r="B38" i="6"/>
  <c r="AG24" i="2"/>
  <c r="E45" i="2"/>
  <c r="E52" i="2"/>
  <c r="E54" i="2"/>
  <c r="D45" i="2"/>
  <c r="D52" i="2"/>
  <c r="D54" i="2"/>
  <c r="G45" i="2"/>
  <c r="G52" i="2"/>
  <c r="G54" i="2"/>
  <c r="C46" i="2"/>
  <c r="C53" i="2"/>
  <c r="C55" i="2"/>
  <c r="E46" i="2"/>
  <c r="E53" i="2"/>
  <c r="E55" i="2"/>
  <c r="D46" i="2"/>
  <c r="D53" i="2"/>
  <c r="D55" i="2"/>
  <c r="F45" i="2"/>
  <c r="F52" i="2"/>
  <c r="F54" i="2"/>
  <c r="F56" i="2"/>
  <c r="G46" i="2"/>
  <c r="G53" i="2"/>
  <c r="G55" i="2"/>
  <c r="C45" i="2"/>
  <c r="C52" i="2"/>
  <c r="C54" i="2"/>
  <c r="H11" i="2"/>
  <c r="H12" i="2"/>
  <c r="U1" i="2"/>
  <c r="U4" i="2"/>
  <c r="B32" i="6"/>
  <c r="AH24" i="2"/>
  <c r="E9" i="4"/>
  <c r="O16" i="2"/>
  <c r="W15" i="2"/>
  <c r="A11" i="4"/>
  <c r="D10" i="4"/>
  <c r="B40" i="6"/>
  <c r="D56" i="2"/>
  <c r="G56" i="2"/>
  <c r="E56" i="2"/>
  <c r="C56" i="2"/>
  <c r="U16" i="2"/>
  <c r="U39" i="2"/>
  <c r="V39" i="2"/>
  <c r="U9" i="2"/>
  <c r="U21" i="2"/>
  <c r="U33" i="2"/>
  <c r="V33" i="2"/>
  <c r="U12" i="2"/>
  <c r="U14" i="2"/>
  <c r="U37" i="2"/>
  <c r="V37" i="2"/>
  <c r="U5" i="2"/>
  <c r="U38" i="2"/>
  <c r="V38" i="2"/>
  <c r="U29" i="2"/>
  <c r="U51" i="2"/>
  <c r="V51" i="2"/>
  <c r="U45" i="2"/>
  <c r="V45" i="2"/>
  <c r="U44" i="2"/>
  <c r="V44" i="2"/>
  <c r="U49" i="2"/>
  <c r="V49" i="2"/>
  <c r="U27" i="2"/>
  <c r="U10" i="2"/>
  <c r="U43" i="2"/>
  <c r="V43" i="2"/>
  <c r="U25" i="2"/>
  <c r="U50" i="2"/>
  <c r="V50" i="2"/>
  <c r="U32" i="2"/>
  <c r="V32" i="2"/>
  <c r="U28" i="2"/>
  <c r="U23" i="2"/>
  <c r="U36" i="2"/>
  <c r="V36" i="2"/>
  <c r="U20" i="2"/>
  <c r="U42" i="2"/>
  <c r="V42" i="2"/>
  <c r="U7" i="2"/>
  <c r="U41" i="2"/>
  <c r="V41" i="2"/>
  <c r="U15" i="2"/>
  <c r="U19" i="2"/>
  <c r="U31" i="2"/>
  <c r="U8" i="2"/>
  <c r="U34" i="2"/>
  <c r="V34" i="2"/>
  <c r="U40" i="2"/>
  <c r="V40" i="2"/>
  <c r="U30" i="2"/>
  <c r="U48" i="2"/>
  <c r="V48" i="2"/>
  <c r="U46" i="2"/>
  <c r="V46" i="2"/>
  <c r="U11" i="2"/>
  <c r="U26" i="2"/>
  <c r="U18" i="2"/>
  <c r="U35" i="2"/>
  <c r="V35" i="2"/>
  <c r="U47" i="2"/>
  <c r="V47" i="2"/>
  <c r="U6" i="2"/>
  <c r="U17" i="2"/>
  <c r="U22" i="2"/>
  <c r="U13" i="2"/>
  <c r="U24" i="2"/>
  <c r="E10" i="4"/>
  <c r="A12" i="4"/>
  <c r="D11" i="4"/>
  <c r="O17" i="2"/>
  <c r="W16" i="2"/>
  <c r="W17" i="2"/>
  <c r="O18" i="2"/>
  <c r="A13" i="4"/>
  <c r="D12" i="4"/>
  <c r="E11" i="4"/>
  <c r="X17" i="2"/>
  <c r="X12" i="2"/>
  <c r="X15" i="2"/>
  <c r="X14" i="2"/>
  <c r="X10" i="2"/>
  <c r="X13" i="2"/>
  <c r="X16" i="2"/>
  <c r="X11" i="2"/>
  <c r="D13" i="4"/>
  <c r="E13" i="4"/>
  <c r="A14" i="4"/>
  <c r="E12" i="4"/>
  <c r="O19" i="2"/>
  <c r="W18" i="2"/>
  <c r="O20" i="2"/>
  <c r="W19" i="2"/>
  <c r="D14" i="4"/>
  <c r="A15" i="4"/>
  <c r="E14" i="4"/>
  <c r="A16" i="4"/>
  <c r="D15" i="4"/>
  <c r="W20" i="2"/>
  <c r="O21" i="2"/>
  <c r="E15" i="4"/>
  <c r="O22" i="2"/>
  <c r="W21" i="2"/>
  <c r="A17" i="4"/>
  <c r="D16" i="4"/>
  <c r="E16" i="4"/>
  <c r="D17" i="4"/>
  <c r="A18" i="4"/>
  <c r="O23" i="2"/>
  <c r="W22" i="2"/>
  <c r="X22" i="2"/>
  <c r="X21" i="2"/>
  <c r="X20" i="2"/>
  <c r="D18" i="4"/>
  <c r="A19" i="4"/>
  <c r="O24" i="2"/>
  <c r="W23" i="2"/>
  <c r="E17" i="4"/>
  <c r="O25" i="2"/>
  <c r="W24" i="2"/>
  <c r="D19" i="4"/>
  <c r="A20" i="4"/>
  <c r="E18" i="4"/>
  <c r="A21" i="4"/>
  <c r="D20" i="4"/>
  <c r="E19" i="4"/>
  <c r="O26" i="2"/>
  <c r="W25" i="2"/>
  <c r="E20" i="4"/>
  <c r="O27" i="2"/>
  <c r="W26" i="2"/>
  <c r="D21" i="4"/>
  <c r="A22" i="4"/>
  <c r="O28" i="2"/>
  <c r="W27" i="2"/>
  <c r="D22" i="4"/>
  <c r="A23" i="4"/>
  <c r="E21" i="4"/>
  <c r="X25" i="2"/>
  <c r="X24" i="2"/>
  <c r="X27" i="2"/>
  <c r="X26" i="2"/>
  <c r="D23" i="4"/>
  <c r="A24" i="4"/>
  <c r="W28" i="2"/>
  <c r="O29" i="2"/>
  <c r="X29" i="2"/>
  <c r="E22" i="4"/>
  <c r="W29" i="2"/>
  <c r="O30" i="2"/>
  <c r="X30" i="2"/>
  <c r="A25" i="4"/>
  <c r="D24" i="4"/>
  <c r="E23" i="4"/>
  <c r="E24" i="4"/>
  <c r="A26" i="4"/>
  <c r="D25" i="4"/>
  <c r="W30" i="2"/>
  <c r="O31" i="2"/>
  <c r="X31" i="2"/>
  <c r="E25" i="4"/>
  <c r="A27" i="4"/>
  <c r="D26" i="4"/>
  <c r="W31" i="2"/>
  <c r="O32" i="2"/>
  <c r="O33" i="2"/>
  <c r="O34" i="2"/>
  <c r="O35" i="2"/>
  <c r="O36" i="2"/>
  <c r="O37" i="2"/>
  <c r="O38" i="2"/>
  <c r="O39" i="2"/>
  <c r="O40" i="2"/>
  <c r="O41" i="2"/>
  <c r="O42" i="2"/>
  <c r="O43" i="2"/>
  <c r="O44" i="2"/>
  <c r="O45" i="2"/>
  <c r="O46" i="2"/>
  <c r="O47" i="2"/>
  <c r="O48" i="2"/>
  <c r="O49" i="2"/>
  <c r="O50" i="2"/>
  <c r="O51" i="2"/>
  <c r="A28" i="4"/>
  <c r="D27" i="4"/>
  <c r="E26" i="4"/>
  <c r="E27" i="4"/>
  <c r="A29" i="4"/>
  <c r="D28" i="4"/>
  <c r="E28" i="4"/>
  <c r="D29" i="4"/>
  <c r="A30" i="4"/>
  <c r="D30" i="4"/>
  <c r="A31" i="4"/>
  <c r="E29" i="4"/>
  <c r="A32" i="4"/>
  <c r="D31" i="4"/>
  <c r="E30" i="4"/>
  <c r="E31" i="4"/>
  <c r="D32" i="4"/>
  <c r="A33" i="4"/>
  <c r="A34" i="4"/>
  <c r="A35" i="4"/>
  <c r="A36" i="4"/>
  <c r="A37" i="4"/>
  <c r="A38" i="4"/>
  <c r="A39" i="4"/>
  <c r="A40" i="4"/>
  <c r="A41" i="4"/>
  <c r="A42" i="4"/>
  <c r="A43" i="4"/>
  <c r="A44" i="4"/>
  <c r="A45" i="4"/>
  <c r="A46" i="4"/>
  <c r="A47" i="4"/>
  <c r="A48" i="4"/>
  <c r="A49" i="4"/>
  <c r="A50" i="4"/>
  <c r="A51" i="4"/>
  <c r="G7" i="2"/>
  <c r="G8" i="2"/>
  <c r="G60" i="2"/>
  <c r="F6" i="4"/>
  <c r="P6" i="2"/>
  <c r="F4" i="4"/>
  <c r="P4" i="2"/>
  <c r="F7" i="4"/>
  <c r="P7" i="2"/>
  <c r="F5" i="4"/>
  <c r="P5" i="2"/>
  <c r="F8" i="4"/>
  <c r="P8" i="2"/>
  <c r="C7" i="2"/>
  <c r="F9" i="4"/>
  <c r="P9" i="2"/>
  <c r="F10" i="4"/>
  <c r="P10" i="2"/>
  <c r="F11" i="4"/>
  <c r="P11" i="2"/>
  <c r="F12" i="4"/>
  <c r="P12" i="2"/>
  <c r="F13" i="4"/>
  <c r="P13" i="2"/>
  <c r="F14" i="4"/>
  <c r="P14" i="2"/>
  <c r="F15" i="4"/>
  <c r="P15" i="2"/>
  <c r="D7" i="2"/>
  <c r="D8" i="2"/>
  <c r="D60" i="2"/>
  <c r="F16" i="4"/>
  <c r="P16" i="2"/>
  <c r="F17" i="4"/>
  <c r="P17" i="2"/>
  <c r="F18" i="4"/>
  <c r="P18" i="2"/>
  <c r="F19" i="4"/>
  <c r="P19" i="2"/>
  <c r="F20" i="4"/>
  <c r="P20" i="2"/>
  <c r="F21" i="4"/>
  <c r="P21" i="2"/>
  <c r="E7" i="2"/>
  <c r="E8" i="2"/>
  <c r="E60" i="2"/>
  <c r="F22" i="4"/>
  <c r="P22" i="2"/>
  <c r="F23" i="4"/>
  <c r="P23" i="2"/>
  <c r="F24" i="4"/>
  <c r="P24" i="2"/>
  <c r="F25" i="4"/>
  <c r="P25" i="2"/>
  <c r="F7" i="2"/>
  <c r="F8" i="2"/>
  <c r="F60" i="2"/>
  <c r="F26" i="4"/>
  <c r="P26" i="2"/>
  <c r="F27" i="4"/>
  <c r="P27" i="2"/>
  <c r="F28" i="4"/>
  <c r="P28" i="2"/>
  <c r="F29" i="4"/>
  <c r="P29" i="2"/>
  <c r="F30" i="4"/>
  <c r="P30" i="2"/>
  <c r="F31" i="4"/>
  <c r="P31" i="2"/>
  <c r="H7" i="2"/>
  <c r="C8" i="2"/>
  <c r="H8" i="2"/>
  <c r="C60" i="2"/>
  <c r="H60" i="2"/>
  <c r="AA1" i="2"/>
  <c r="T1" i="2"/>
  <c r="AA4" i="2"/>
  <c r="AA8" i="2"/>
  <c r="AA18" i="2"/>
  <c r="AA28" i="2"/>
  <c r="AA9" i="2"/>
  <c r="AA17" i="2"/>
  <c r="AA25" i="2"/>
  <c r="AA5" i="2"/>
  <c r="AA21" i="2"/>
  <c r="AA19" i="2"/>
  <c r="AA7" i="2"/>
  <c r="AA22" i="2"/>
  <c r="AA13" i="2"/>
  <c r="AA11" i="2"/>
  <c r="AA23" i="2"/>
  <c r="AA24" i="2"/>
  <c r="AA27" i="2"/>
  <c r="AA30" i="2"/>
  <c r="AA6" i="2"/>
  <c r="AA14" i="2"/>
  <c r="AA26" i="2"/>
  <c r="AA10" i="2"/>
  <c r="AA29" i="2"/>
  <c r="AA31" i="2"/>
  <c r="AA16" i="2"/>
  <c r="AA12" i="2"/>
  <c r="AA15" i="2"/>
  <c r="AA20" i="2"/>
  <c r="T4" i="2"/>
  <c r="V4" i="2"/>
  <c r="Y4" i="2"/>
  <c r="Z4" i="2"/>
  <c r="AB4" i="2"/>
  <c r="T6" i="2"/>
  <c r="V6" i="2"/>
  <c r="Y6" i="2"/>
  <c r="Z6" i="2"/>
  <c r="AB6" i="2"/>
  <c r="T14" i="2"/>
  <c r="V14" i="2"/>
  <c r="Y14" i="2"/>
  <c r="Z14" i="2"/>
  <c r="AB14" i="2"/>
  <c r="T18" i="2"/>
  <c r="V18" i="2"/>
  <c r="Y18" i="2"/>
  <c r="Z18" i="2"/>
  <c r="AB18" i="2"/>
  <c r="T28" i="2"/>
  <c r="V28" i="2"/>
  <c r="Y28" i="2"/>
  <c r="Z28" i="2"/>
  <c r="AB28" i="2"/>
  <c r="T21" i="2"/>
  <c r="V21" i="2"/>
  <c r="T23" i="2"/>
  <c r="V23" i="2"/>
  <c r="T26" i="2"/>
  <c r="V26" i="2"/>
  <c r="Y26" i="2"/>
  <c r="Z26" i="2"/>
  <c r="AB26" i="2"/>
  <c r="T19" i="2"/>
  <c r="V19" i="2"/>
  <c r="T29" i="2"/>
  <c r="V29" i="2"/>
  <c r="Y29" i="2"/>
  <c r="Z29" i="2"/>
  <c r="AB29" i="2"/>
  <c r="T15" i="2"/>
  <c r="V15" i="2"/>
  <c r="Y15" i="2"/>
  <c r="Z15" i="2"/>
  <c r="AB15" i="2"/>
  <c r="T16" i="2"/>
  <c r="V16" i="2"/>
  <c r="Y16" i="2"/>
  <c r="Z16" i="2"/>
  <c r="AB16" i="2"/>
  <c r="T7" i="2"/>
  <c r="V7" i="2"/>
  <c r="Y7" i="2"/>
  <c r="Z7" i="2"/>
  <c r="AB7" i="2"/>
  <c r="T9" i="2"/>
  <c r="V9" i="2"/>
  <c r="Y9" i="2"/>
  <c r="Z9" i="2"/>
  <c r="AB9" i="2"/>
  <c r="T12" i="2"/>
  <c r="V12" i="2"/>
  <c r="Y12" i="2"/>
  <c r="Z12" i="2"/>
  <c r="AB12" i="2"/>
  <c r="T24" i="2"/>
  <c r="V24" i="2"/>
  <c r="Y24" i="2"/>
  <c r="Z24" i="2"/>
  <c r="AB24" i="2"/>
  <c r="T25" i="2"/>
  <c r="V25" i="2"/>
  <c r="Y25" i="2"/>
  <c r="Z25" i="2"/>
  <c r="AB25" i="2"/>
  <c r="T17" i="2"/>
  <c r="V17" i="2"/>
  <c r="Y17" i="2"/>
  <c r="Z17" i="2"/>
  <c r="AB17" i="2"/>
  <c r="T5" i="2"/>
  <c r="V5" i="2"/>
  <c r="Y5" i="2"/>
  <c r="Z5" i="2"/>
  <c r="AB5" i="2"/>
  <c r="T8" i="2"/>
  <c r="V8" i="2"/>
  <c r="Y8" i="2"/>
  <c r="Z8" i="2"/>
  <c r="AB8" i="2"/>
  <c r="T11" i="2"/>
  <c r="V11" i="2"/>
  <c r="Y11" i="2"/>
  <c r="Z11" i="2"/>
  <c r="AB11" i="2"/>
  <c r="T20" i="2"/>
  <c r="V20" i="2"/>
  <c r="T30" i="2"/>
  <c r="V30" i="2"/>
  <c r="Y30" i="2"/>
  <c r="Z30" i="2"/>
  <c r="AB30" i="2"/>
  <c r="T27" i="2"/>
  <c r="V27" i="2"/>
  <c r="Y27" i="2"/>
  <c r="Z27" i="2"/>
  <c r="AB27" i="2"/>
  <c r="T10" i="2"/>
  <c r="V10" i="2"/>
  <c r="Y10" i="2"/>
  <c r="Z10" i="2"/>
  <c r="AB10" i="2"/>
  <c r="T31" i="2"/>
  <c r="V31" i="2"/>
  <c r="Y31" i="2"/>
  <c r="Z31" i="2"/>
  <c r="AB31" i="2"/>
  <c r="T22" i="2"/>
  <c r="V22" i="2"/>
  <c r="T13" i="2"/>
  <c r="V13" i="2"/>
  <c r="Y13" i="2"/>
  <c r="Z13" i="2"/>
  <c r="AB13" i="2"/>
  <c r="AC31" i="2"/>
  <c r="AC28" i="2"/>
  <c r="AC24" i="2"/>
  <c r="AC14" i="2"/>
  <c r="AC5" i="2"/>
  <c r="AC15" i="2"/>
  <c r="AC29" i="2"/>
  <c r="AC6" i="2"/>
  <c r="AC7" i="2"/>
  <c r="AC25" i="2"/>
  <c r="AC18" i="2"/>
  <c r="AC12" i="2"/>
  <c r="AC10" i="2"/>
  <c r="AC30" i="2"/>
  <c r="AC11" i="2"/>
  <c r="AC17" i="2"/>
  <c r="AC8" i="2"/>
  <c r="AC16" i="2"/>
  <c r="AC26" i="2"/>
  <c r="AC27" i="2"/>
  <c r="AC13" i="2"/>
  <c r="AC9" i="2"/>
  <c r="AC4" i="2"/>
  <c r="C61" i="2"/>
  <c r="C67" i="2"/>
  <c r="D61" i="2"/>
  <c r="D67" i="2"/>
  <c r="G61" i="2"/>
  <c r="G67" i="2"/>
  <c r="D75" i="2"/>
  <c r="D62" i="2"/>
  <c r="D69" i="2"/>
  <c r="C75" i="2"/>
  <c r="C62" i="2"/>
  <c r="C69" i="2"/>
  <c r="G75" i="2"/>
  <c r="G62" i="2"/>
  <c r="G69" i="2"/>
  <c r="Y23" i="2"/>
  <c r="Z23" i="2"/>
  <c r="AB23" i="2"/>
  <c r="AC23" i="2"/>
  <c r="Y22" i="2"/>
  <c r="Z22" i="2"/>
  <c r="AB22" i="2"/>
  <c r="AC22" i="2"/>
  <c r="X19" i="2"/>
  <c r="Y19" i="2"/>
  <c r="Z19" i="2"/>
  <c r="AB19" i="2"/>
  <c r="AC19" i="2"/>
  <c r="Y20" i="2"/>
  <c r="Z20" i="2"/>
  <c r="AB20" i="2"/>
  <c r="AC20" i="2"/>
  <c r="Y21" i="2"/>
  <c r="Z21" i="2"/>
  <c r="AB21" i="2"/>
  <c r="AC21" i="2"/>
  <c r="F61" i="2"/>
  <c r="F75" i="2"/>
  <c r="E61" i="2"/>
  <c r="F67" i="2"/>
  <c r="F62" i="2"/>
  <c r="E67" i="2"/>
  <c r="E75" i="2"/>
  <c r="H75" i="2"/>
  <c r="E62" i="2"/>
  <c r="H67" i="2"/>
  <c r="H77" i="2"/>
  <c r="H79" i="2"/>
  <c r="F69" i="2"/>
  <c r="E69" i="2"/>
  <c r="H62" i="2"/>
  <c r="H69" i="2"/>
  <c r="H71" i="2"/>
  <c r="B123" i="1"/>
  <c r="H73" i="2"/>
  <c r="H82" i="2"/>
  <c r="B128" i="1"/>
</calcChain>
</file>

<file path=xl/sharedStrings.xml><?xml version="1.0" encoding="utf-8"?>
<sst xmlns="http://schemas.openxmlformats.org/spreadsheetml/2006/main" count="707" uniqueCount="428">
  <si>
    <t>ERROR</t>
  </si>
  <si>
    <t>Description:</t>
  </si>
  <si>
    <t>Unit:</t>
  </si>
  <si>
    <t>Value:</t>
  </si>
  <si>
    <t>Section 5.3.5.1.3</t>
  </si>
  <si>
    <t>In EN 14825, the water flow rate is determined according to EN 14511 at standard rating conditions.</t>
  </si>
  <si>
    <t>Renewable Contribution calculated in DEAP</t>
  </si>
  <si>
    <t>Renewable Contribution provided by Heat Pump</t>
  </si>
  <si>
    <t>Additional Renewable Contribution from Heat Pump</t>
  </si>
  <si>
    <t>Total Electricity Required for Water Heating</t>
  </si>
  <si>
    <t>Electricity required by Heat Pump</t>
  </si>
  <si>
    <t>Fraction of Backup energy due to temperature shortfall</t>
  </si>
  <si>
    <t>If Heat Pump serves a Group Heat Scheme, the total Floor Area served by Heat Pump is:</t>
  </si>
  <si>
    <t>Floor Area of Dwelling</t>
  </si>
  <si>
    <t>Source from DEAP</t>
  </si>
  <si>
    <t>I.S. EN 14511</t>
  </si>
  <si>
    <t>I.S. EN 255-3</t>
  </si>
  <si>
    <t>I.S. EN 16147</t>
  </si>
  <si>
    <t>I.S. EN 14825</t>
  </si>
  <si>
    <t>Is there a fixed secondary heater present?</t>
  </si>
  <si>
    <t>Annual space heating provided by Heat Pump</t>
  </si>
  <si>
    <t>Source from Ecodesign Data or HARP Database</t>
  </si>
  <si>
    <t>Is the Heat Pump part of a Group Heating Scheme</t>
  </si>
  <si>
    <t>Exhaust Air to Water</t>
  </si>
  <si>
    <t>1 or more Radiators present</t>
  </si>
  <si>
    <t>Underfloor Heating</t>
  </si>
  <si>
    <t>Name of owner/ client:</t>
  </si>
  <si>
    <t>BER Number:</t>
  </si>
  <si>
    <t>Source from the Building Elements - Heat Loss Results Tab in DEAP</t>
  </si>
  <si>
    <t>Source from Designer/ Installer sign off sheet</t>
  </si>
  <si>
    <t>Space Heating Test Standard</t>
  </si>
  <si>
    <t>Water Heating Test Standard</t>
  </si>
  <si>
    <r>
      <t>o</t>
    </r>
    <r>
      <rPr>
        <sz val="12"/>
        <rFont val="Calibri"/>
        <family val="2"/>
      </rPr>
      <t>C</t>
    </r>
  </si>
  <si>
    <t>Source from the Distribution system loss and gains tab in DEAP</t>
  </si>
  <si>
    <t>Exponent n, characterising type of emission system</t>
  </si>
  <si>
    <t>Source from the Water Heating Tab, Output from Main Water Heater in DEAP</t>
  </si>
  <si>
    <t>Source from the Water Heating Tab, Storage in DEAP</t>
  </si>
  <si>
    <t>Test Conditions EN 14825:2013</t>
  </si>
  <si>
    <t>Heating Capacity (kW)</t>
  </si>
  <si>
    <t>Coefficient of Performance (kW/kW)</t>
  </si>
  <si>
    <t>kWh</t>
  </si>
  <si>
    <t>oC</t>
  </si>
  <si>
    <t>Heat Emission Type</t>
  </si>
  <si>
    <t>Air</t>
  </si>
  <si>
    <t>Design Outdoor Temperature</t>
  </si>
  <si>
    <t>No of Hrs per Day Heat Pump in Operation</t>
  </si>
  <si>
    <t xml:space="preserve"> </t>
  </si>
  <si>
    <t>hrs</t>
  </si>
  <si>
    <t>Cut-out hours</t>
  </si>
  <si>
    <t>Fuel</t>
  </si>
  <si>
    <t>Electricity</t>
  </si>
  <si>
    <t>Cold Water Inlet Temperature</t>
  </si>
  <si>
    <t>Volume of DHW Storage</t>
  </si>
  <si>
    <t>kW</t>
  </si>
  <si>
    <t>Fixed Outlet</t>
  </si>
  <si>
    <t>Variable Outlet</t>
  </si>
  <si>
    <t>Yes</t>
  </si>
  <si>
    <t>No</t>
  </si>
  <si>
    <t>Space heating</t>
  </si>
  <si>
    <t>Domestic Hot Water</t>
  </si>
  <si>
    <t>Space heating and Domestic Hot Water</t>
  </si>
  <si>
    <t>1. General information</t>
  </si>
  <si>
    <t>Address of installation:</t>
  </si>
  <si>
    <t>Manufacturer of the installed heat pump(s)</t>
  </si>
  <si>
    <t>Model of the installed heat pump(s)</t>
  </si>
  <si>
    <t>Does the installation provide:</t>
  </si>
  <si>
    <t>DEAP Heat Pump Tool</t>
  </si>
  <si>
    <t>Heat Loss Watts</t>
  </si>
  <si>
    <t>EN 16147</t>
  </si>
  <si>
    <t>Type of heat pump</t>
  </si>
  <si>
    <t>litre</t>
  </si>
  <si>
    <t>kWh/day</t>
  </si>
  <si>
    <t>Does the heat pump have an Integral Immersion</t>
  </si>
  <si>
    <t>Test Conditions EN 14511-2</t>
  </si>
  <si>
    <t>Test Conditions EN 16147</t>
  </si>
  <si>
    <t>Reference Hot Water Temperature</t>
  </si>
  <si>
    <t>Coefficient of Performance</t>
  </si>
  <si>
    <t>Bin Data</t>
  </si>
  <si>
    <t>Operating Points (Bin Temperatures)</t>
  </si>
  <si>
    <t>Test Points</t>
  </si>
  <si>
    <t>Mid Test Points</t>
  </si>
  <si>
    <t>Eqt 4</t>
  </si>
  <si>
    <t>Design Temperature</t>
  </si>
  <si>
    <t>DHW Energy kWh</t>
  </si>
  <si>
    <t>Taken as 16 based on EN14825</t>
  </si>
  <si>
    <t>Outdoor temperature bin (deg C)</t>
  </si>
  <si>
    <t>Heating Degree Hrs</t>
  </si>
  <si>
    <t>Heating Weighting Factor…Eqt 4</t>
  </si>
  <si>
    <t>DHW Weighting Factor…Eqt 8</t>
  </si>
  <si>
    <t>Bin 1</t>
  </si>
  <si>
    <t>Bin 2</t>
  </si>
  <si>
    <t>Bin 3</t>
  </si>
  <si>
    <t>Bin 4</t>
  </si>
  <si>
    <t>Bin 5</t>
  </si>
  <si>
    <t>Total</t>
  </si>
  <si>
    <t>Eqt 5</t>
  </si>
  <si>
    <t>Eqt 6</t>
  </si>
  <si>
    <t>Cumulative Hrs</t>
  </si>
  <si>
    <t>Effective Bin Time</t>
  </si>
  <si>
    <t>Eqt 7</t>
  </si>
  <si>
    <t>Weighting Factor SH</t>
  </si>
  <si>
    <t>Mass Flow Rate</t>
  </si>
  <si>
    <t>Source Temperature</t>
  </si>
  <si>
    <t xml:space="preserve">Heating Capacity DHW </t>
  </si>
  <si>
    <t>litres</t>
  </si>
  <si>
    <t>Emitter Temperature Drop</t>
  </si>
  <si>
    <t>Test Data</t>
  </si>
  <si>
    <t>Return Temperature at design conditions</t>
  </si>
  <si>
    <t>Heating Capacity for Source Temp</t>
  </si>
  <si>
    <t>Low Temperature</t>
  </si>
  <si>
    <t>Supply Flow Temperature</t>
  </si>
  <si>
    <t>Heating Capacity for Supply Temp</t>
  </si>
  <si>
    <t>kg/s, Equation 10</t>
  </si>
  <si>
    <t>oC, Equation 10</t>
  </si>
  <si>
    <t>Delta T for emitter</t>
  </si>
  <si>
    <t>Interpolation of COP</t>
  </si>
  <si>
    <t>Results</t>
  </si>
  <si>
    <t>Is the Heat Pump Listed on HARP</t>
  </si>
  <si>
    <t>Is there load or weather compensation present?</t>
  </si>
  <si>
    <t>Reference Temperature</t>
  </si>
  <si>
    <t>Temperature of DHW</t>
  </si>
  <si>
    <t>Temperature of Cold Water Inlet</t>
  </si>
  <si>
    <t>Average Storage Temperature</t>
  </si>
  <si>
    <t>Standby Heat loss</t>
  </si>
  <si>
    <t>Efficiency for DEAP</t>
  </si>
  <si>
    <t>COP based on EN 16147</t>
  </si>
  <si>
    <t>COP based on EN 255</t>
  </si>
  <si>
    <t>Efficiency of Main Heating System</t>
  </si>
  <si>
    <t>Efficiency of Main Hot Water System</t>
  </si>
  <si>
    <t>Efficiency Adjustment Factor - Main Heating</t>
  </si>
  <si>
    <t>Efficiency Adjustment Factor - Main Hot Water</t>
  </si>
  <si>
    <t>Volume of DHW accounted for in test</t>
  </si>
  <si>
    <t>MPRN Number:</t>
  </si>
  <si>
    <t>Eircode:</t>
  </si>
  <si>
    <t>2. Assessor Details</t>
  </si>
  <si>
    <t>Assessor Name:</t>
  </si>
  <si>
    <t>Assessor Number:</t>
  </si>
  <si>
    <t>Guidance Notes:</t>
  </si>
  <si>
    <t>Total heat loss (W/K) taken from DEAP</t>
  </si>
  <si>
    <t>Watts</t>
  </si>
  <si>
    <t>EN 15316 methodology</t>
  </si>
  <si>
    <t>Water to Water</t>
  </si>
  <si>
    <t>Air to Water</t>
  </si>
  <si>
    <t>Annual space heating requirement taken from DEAP</t>
  </si>
  <si>
    <t xml:space="preserve"> EN 14825:2013 - Table 12 (ASHP) or Table 24 (GSHP)</t>
  </si>
  <si>
    <r>
      <t>Low Temperature Application (</t>
    </r>
    <r>
      <rPr>
        <b/>
        <sz val="12"/>
        <color indexed="10"/>
        <rFont val="Calibri"/>
        <family val="2"/>
      </rPr>
      <t>35</t>
    </r>
    <r>
      <rPr>
        <b/>
        <vertAlign val="superscript"/>
        <sz val="12"/>
        <color indexed="10"/>
        <rFont val="Calibri"/>
        <family val="2"/>
      </rPr>
      <t>o</t>
    </r>
    <r>
      <rPr>
        <b/>
        <sz val="12"/>
        <color indexed="10"/>
        <rFont val="Calibri"/>
        <family val="2"/>
      </rPr>
      <t>C</t>
    </r>
    <r>
      <rPr>
        <b/>
        <sz val="12"/>
        <rFont val="Calibri"/>
        <family val="2"/>
      </rPr>
      <t xml:space="preserve">)                                          </t>
    </r>
  </si>
  <si>
    <r>
      <t>Mid Temperature Application (</t>
    </r>
    <r>
      <rPr>
        <b/>
        <sz val="12"/>
        <color indexed="10"/>
        <rFont val="Calibri"/>
        <family val="2"/>
      </rPr>
      <t>45</t>
    </r>
    <r>
      <rPr>
        <b/>
        <vertAlign val="superscript"/>
        <sz val="12"/>
        <color indexed="10"/>
        <rFont val="Calibri"/>
        <family val="2"/>
      </rPr>
      <t>o</t>
    </r>
    <r>
      <rPr>
        <b/>
        <sz val="12"/>
        <color indexed="10"/>
        <rFont val="Calibri"/>
        <family val="2"/>
      </rPr>
      <t>C</t>
    </r>
    <r>
      <rPr>
        <b/>
        <sz val="12"/>
        <rFont val="Calibri"/>
        <family val="2"/>
      </rPr>
      <t xml:space="preserve">)                                          </t>
    </r>
  </si>
  <si>
    <r>
      <t>Very High Temperature Application (</t>
    </r>
    <r>
      <rPr>
        <b/>
        <sz val="12"/>
        <color indexed="10"/>
        <rFont val="Calibri"/>
        <family val="2"/>
      </rPr>
      <t>65</t>
    </r>
    <r>
      <rPr>
        <b/>
        <vertAlign val="superscript"/>
        <sz val="12"/>
        <color indexed="10"/>
        <rFont val="Calibri"/>
        <family val="2"/>
      </rPr>
      <t>o</t>
    </r>
    <r>
      <rPr>
        <b/>
        <sz val="12"/>
        <color indexed="10"/>
        <rFont val="Calibri"/>
        <family val="2"/>
      </rPr>
      <t>C</t>
    </r>
    <r>
      <rPr>
        <b/>
        <sz val="12"/>
        <rFont val="Calibri"/>
        <family val="2"/>
      </rPr>
      <t xml:space="preserve">)                                         </t>
    </r>
  </si>
  <si>
    <t>EN 14825:2013 - Table 21 (ASHP) or Table 33 (GSHP)</t>
  </si>
  <si>
    <t>High Temperature</t>
  </si>
  <si>
    <t>Very High Temperature</t>
  </si>
  <si>
    <t>Brine to Water</t>
  </si>
  <si>
    <t>Underfloor heating only</t>
  </si>
  <si>
    <t>Fan Coil Units present (no radiators)</t>
  </si>
  <si>
    <t>Default Supply Temperature</t>
  </si>
  <si>
    <t>Mains Gas</t>
  </si>
  <si>
    <t>Heating Oil</t>
  </si>
  <si>
    <t>manufactured smokeless fuel</t>
  </si>
  <si>
    <t>Peat</t>
  </si>
  <si>
    <t>Solid multi-fuel</t>
  </si>
  <si>
    <t>Based on DEAP Methodology</t>
  </si>
  <si>
    <t>Based on DEAP Methodology, defaults taken from DEAP Manual.</t>
  </si>
  <si>
    <r>
      <t xml:space="preserve">Name IRL_Dublin_IWEC2.epw
Description IWEC2- ASHRAE
Latitude 53.43000031
Longitude -6.25
Time Zone -0.419999987
</t>
    </r>
    <r>
      <rPr>
        <b/>
        <sz val="11"/>
        <color indexed="8"/>
        <rFont val="Calibri"/>
        <family val="2"/>
      </rPr>
      <t>Year 2000</t>
    </r>
    <r>
      <rPr>
        <sz val="10"/>
        <rFont val="Arial"/>
        <family val="2"/>
      </rPr>
      <t xml:space="preserve">
Ground Source Temperature 11.97182465
Altitude 0
Number of hours per bin</t>
    </r>
  </si>
  <si>
    <t>Output from Main Water Heater</t>
  </si>
  <si>
    <t>Type of DHW</t>
  </si>
  <si>
    <t>No Hot Water Store</t>
  </si>
  <si>
    <t>Integral Hot Water Storage</t>
  </si>
  <si>
    <t>Enter SPF based on DEAP Methodology/ HARP</t>
  </si>
  <si>
    <t>Eqt 8</t>
  </si>
  <si>
    <t>Weighting Factor DHW</t>
  </si>
  <si>
    <t>Eqt 9</t>
  </si>
  <si>
    <t>Equation B1</t>
  </si>
  <si>
    <t>Indoor Design Temperature (Mean Internal Temperature)</t>
  </si>
  <si>
    <t>Additional Test Points available at:</t>
  </si>
  <si>
    <t>NA</t>
  </si>
  <si>
    <t>Temp Spread at Higher Temp</t>
  </si>
  <si>
    <t>eqt 11</t>
  </si>
  <si>
    <t>Storage Losses</t>
  </si>
  <si>
    <t>Taken from DEAP</t>
  </si>
  <si>
    <t>Taken from Input</t>
  </si>
  <si>
    <t>based on eqt 18 from EN 15316</t>
  </si>
  <si>
    <t>Diff between Required Running Hrs and Effective Bin..Eqt 40</t>
  </si>
  <si>
    <t>Back Up Heating</t>
  </si>
  <si>
    <t>Electrical Energy for Space Heating from heat pump</t>
  </si>
  <si>
    <t>Total Electrical Energy Required</t>
  </si>
  <si>
    <t>Standby Heat Loss</t>
  </si>
  <si>
    <t>Required Source Temperature</t>
  </si>
  <si>
    <t>Capacity of Heat Pump</t>
  </si>
  <si>
    <t>Required Running Hours</t>
  </si>
  <si>
    <t>Difference between Req and Effective</t>
  </si>
  <si>
    <t xml:space="preserve">Fraction of main space and water heating from CHP </t>
  </si>
  <si>
    <t>Source from Designer/ Installer sign off sheet or site evidence without Ecodesign</t>
  </si>
  <si>
    <t>Proportion of group heating provided by the heat pump</t>
  </si>
  <si>
    <t>%</t>
  </si>
  <si>
    <t xml:space="preserve">Source from Ecodesign Data </t>
  </si>
  <si>
    <t>Note: have deleted Row 31 as this is dealt with in the calcs on heating calc (row 38)</t>
  </si>
  <si>
    <t>Based on CIBSE Guide A Section 2</t>
  </si>
  <si>
    <t>Design Flow Temperature
Use "Default Supply Temperature" unless other evidence available</t>
  </si>
  <si>
    <t>Source from Designer/ Installer sign off sheet, default is DEAP heating schedule which is 8 hrs a day</t>
  </si>
  <si>
    <t>Electricity Primary Energy Factor</t>
  </si>
  <si>
    <t>Source from DEAP tool, Options</t>
  </si>
  <si>
    <t>Separate Hot Water Storage</t>
  </si>
  <si>
    <t>Integral and separate Hot Water Storage</t>
  </si>
  <si>
    <t>Source from CE marked literature, CE marked dataplates or accredited test data for the heat pump in question.</t>
  </si>
  <si>
    <t>Taken from IS EN 14825 standard</t>
  </si>
  <si>
    <t>To Air Heat Pump</t>
  </si>
  <si>
    <r>
      <t>m</t>
    </r>
    <r>
      <rPr>
        <vertAlign val="superscript"/>
        <sz val="12"/>
        <rFont val="Calibri"/>
        <family val="2"/>
      </rPr>
      <t>2</t>
    </r>
  </si>
  <si>
    <t>Source from Ecodesign Data or HARP Database or in compliance with DEAP methodology</t>
  </si>
  <si>
    <t>Source from Ecodesign Data</t>
  </si>
  <si>
    <t>1 or more Radiators</t>
  </si>
  <si>
    <t>1 or more Fan Coil Units</t>
  </si>
  <si>
    <t>Heat emission type served by heat pump within the dwelling:</t>
  </si>
  <si>
    <t>Required Running Hours (hr) Eqt 28</t>
  </si>
  <si>
    <t>Energy Provided by Backup Space Heater for Space Heating Only</t>
  </si>
  <si>
    <t>Energy to be produced by back up heater for Space Heating only</t>
  </si>
  <si>
    <t>For non electric back up heaters this has been converted to equivalent electric energy using Bivalent system</t>
  </si>
  <si>
    <t>Back Up for Temperature Increase not included as test data for higher temperatures must be provided.</t>
  </si>
  <si>
    <t>Recoverable heat from auxiliary energy (pumps) and thermal losses (storage) excluded as allowed for in DEAP</t>
  </si>
  <si>
    <t>Auxiliary Energy for central heating pumps &amp; DHW pumps excluded as allowed for in DEAP</t>
  </si>
  <si>
    <t>Space Heating Energy Requirement</t>
  </si>
  <si>
    <t>Space Heating Provided by Heat Pump</t>
  </si>
  <si>
    <t>SPF - Heat Pump &amp; Back up Heater</t>
  </si>
  <si>
    <t>SPF - Heat Pump only</t>
  </si>
  <si>
    <t xml:space="preserve">kWh </t>
  </si>
  <si>
    <t>Volume of Tank in Test</t>
  </si>
  <si>
    <t>S</t>
  </si>
  <si>
    <t>M</t>
  </si>
  <si>
    <t>L</t>
  </si>
  <si>
    <t>XL</t>
  </si>
  <si>
    <t>XXL</t>
  </si>
  <si>
    <t>Air to Air</t>
  </si>
  <si>
    <t>Brine to Air</t>
  </si>
  <si>
    <t>Water to Air</t>
  </si>
  <si>
    <t>Source</t>
  </si>
  <si>
    <t>Sink</t>
  </si>
  <si>
    <t>Source from SAP 2009 &amp; 2012 - Calculation Methodology for electrically driven heat pumps</t>
  </si>
  <si>
    <t>Operation Limit Temperature (TOL)</t>
  </si>
  <si>
    <t>Details on CHP and secondary heating must match the DEAP energy requirements entries.</t>
  </si>
  <si>
    <t>Is there a CHP present?</t>
  </si>
  <si>
    <t>LPG Gas (bottled or bulk)</t>
  </si>
  <si>
    <t>House coal/ Anthracite</t>
  </si>
  <si>
    <t>Wood logs/pellets/chips</t>
  </si>
  <si>
    <t>Primary Energy Factor for Back Up Space Heater</t>
  </si>
  <si>
    <t xml:space="preserve">Adjusted Efficiency of Back up Space Heater relative to Direct Electric Heating </t>
  </si>
  <si>
    <t>Primary Energy Factor for Back Up Water Heater</t>
  </si>
  <si>
    <t>Is there a water heater installed as back up for the heat pump</t>
  </si>
  <si>
    <t>Adjusted Efficiency of Back up Water Heater relative to Direct Electric Heating</t>
  </si>
  <si>
    <t>kWh/yr</t>
  </si>
  <si>
    <t>Source from Ecodesign Data or accredited tests to EN14825</t>
  </si>
  <si>
    <t>Maximum Test Temperature allowed for in EN14825 testing</t>
  </si>
  <si>
    <t>Derive SPF from HARP, certified data COPs in compliance with DEAP methodology or from DEAP table 4a defaults</t>
  </si>
  <si>
    <t>Source from Designer/ Installer sign off sheet or site evidence</t>
  </si>
  <si>
    <t>Source from Ecodesign Data or accredited tests to EN 16147</t>
  </si>
  <si>
    <t>8. Results</t>
  </si>
  <si>
    <t>Source from accredited test data certificate</t>
  </si>
  <si>
    <t>based on equation from SAP 2009 &amp; 2012 - Calculation Methodology for electrically driven heat pumps, converting 15316-4-2:2008 SPF to SAP SPF</t>
  </si>
  <si>
    <t>based on eqt 7 from EN 15316</t>
  </si>
  <si>
    <t>Back Up Heater due to temperature shortfall</t>
  </si>
  <si>
    <t>Back Up Heater due to operation shortfall</t>
  </si>
  <si>
    <t>Efficiency of Back up Water Heater adjusted relative to Direct Electric Heating</t>
  </si>
  <si>
    <t>Hot Water Provided by Heat Pump</t>
  </si>
  <si>
    <t>SPF - Heat Pump Only</t>
  </si>
  <si>
    <t>EN 14511</t>
  </si>
  <si>
    <t>COP based on EN 14511</t>
  </si>
  <si>
    <t xml:space="preserve">  </t>
  </si>
  <si>
    <t>Cumulative heating Degree Hrs</t>
  </si>
  <si>
    <t>Is a Back Up Space Heater Present within Dwelling</t>
  </si>
  <si>
    <t>Back Up Space Heater Fuel</t>
  </si>
  <si>
    <t>Efficiency of Back up Space Heater</t>
  </si>
  <si>
    <t>Back Up Water Heater Fuel</t>
  </si>
  <si>
    <t>Efficiency of Back up Water Heater</t>
  </si>
  <si>
    <r>
      <t>Based on DEAP Methodology and guidelines for prevention of Legionella. Where the store is separate to the heat pump a 5</t>
    </r>
    <r>
      <rPr>
        <vertAlign val="superscript"/>
        <sz val="12"/>
        <rFont val="Calibri"/>
        <family val="2"/>
      </rPr>
      <t>o</t>
    </r>
    <r>
      <rPr>
        <sz val="12"/>
        <rFont val="Calibri"/>
        <family val="2"/>
      </rPr>
      <t>C drop is assumed.</t>
    </r>
  </si>
  <si>
    <t>kWh/year</t>
  </si>
  <si>
    <r>
      <t>High Temperature Application (</t>
    </r>
    <r>
      <rPr>
        <b/>
        <sz val="12"/>
        <color indexed="10"/>
        <rFont val="Calibri"/>
        <family val="2"/>
      </rPr>
      <t>55</t>
    </r>
    <r>
      <rPr>
        <b/>
        <vertAlign val="superscript"/>
        <sz val="12"/>
        <color indexed="10"/>
        <rFont val="Calibri"/>
        <family val="2"/>
      </rPr>
      <t>o</t>
    </r>
    <r>
      <rPr>
        <b/>
        <sz val="12"/>
        <color indexed="10"/>
        <rFont val="Calibri"/>
        <family val="2"/>
      </rPr>
      <t>C</t>
    </r>
    <r>
      <rPr>
        <b/>
        <sz val="12"/>
        <rFont val="Calibri"/>
        <family val="2"/>
      </rPr>
      <t xml:space="preserve">)                                       </t>
    </r>
  </si>
  <si>
    <t>Test Conditions EN 255-3</t>
  </si>
  <si>
    <t>I.S. EN 14825 Test Conditions</t>
  </si>
  <si>
    <t>(E) 100%</t>
  </si>
  <si>
    <t>(A) 88%</t>
  </si>
  <si>
    <t>(B) 54%</t>
  </si>
  <si>
    <t>(D)15%</t>
  </si>
  <si>
    <t>Guidance Note</t>
  </si>
  <si>
    <t>Enter this in DEAP: energy requirements: space heating</t>
  </si>
  <si>
    <t>Enter this in DEAP: energy requirements: water heating</t>
  </si>
  <si>
    <t>(c) 35%</t>
  </si>
  <si>
    <r>
      <t>Lower Limit (</t>
    </r>
    <r>
      <rPr>
        <vertAlign val="superscript"/>
        <sz val="10"/>
        <rFont val="Arial"/>
        <family val="2"/>
      </rPr>
      <t>o</t>
    </r>
    <r>
      <rPr>
        <sz val="10"/>
        <rFont val="Arial"/>
        <family val="2"/>
      </rPr>
      <t>C )</t>
    </r>
  </si>
  <si>
    <r>
      <t>Upper Limit, (</t>
    </r>
    <r>
      <rPr>
        <vertAlign val="superscript"/>
        <sz val="10"/>
        <rFont val="Arial"/>
        <family val="2"/>
      </rPr>
      <t>o</t>
    </r>
    <r>
      <rPr>
        <sz val="10"/>
        <rFont val="Arial"/>
        <family val="2"/>
      </rPr>
      <t>C )</t>
    </r>
  </si>
  <si>
    <t>Space Heating Energy (kWh)</t>
  </si>
  <si>
    <t>Bin Time (h)</t>
  </si>
  <si>
    <t>Effective Bin Time (h)</t>
  </si>
  <si>
    <t>DHW Energy (kWh)</t>
  </si>
  <si>
    <r>
      <t>Low Temperature (</t>
    </r>
    <r>
      <rPr>
        <vertAlign val="superscript"/>
        <sz val="10"/>
        <rFont val="Arial"/>
        <family val="2"/>
      </rPr>
      <t>o</t>
    </r>
    <r>
      <rPr>
        <sz val="10"/>
        <rFont val="Arial"/>
        <family val="2"/>
      </rPr>
      <t>C )</t>
    </r>
  </si>
  <si>
    <r>
      <t>Medium Temperature (</t>
    </r>
    <r>
      <rPr>
        <vertAlign val="superscript"/>
        <sz val="10"/>
        <rFont val="Arial"/>
        <family val="2"/>
      </rPr>
      <t>o</t>
    </r>
    <r>
      <rPr>
        <sz val="10"/>
        <rFont val="Arial"/>
        <family val="2"/>
      </rPr>
      <t>C )</t>
    </r>
  </si>
  <si>
    <r>
      <t>High Temperature (</t>
    </r>
    <r>
      <rPr>
        <vertAlign val="superscript"/>
        <sz val="10"/>
        <rFont val="Arial"/>
        <family val="2"/>
      </rPr>
      <t>o</t>
    </r>
    <r>
      <rPr>
        <sz val="10"/>
        <rFont val="Arial"/>
        <family val="2"/>
      </rPr>
      <t>C )</t>
    </r>
  </si>
  <si>
    <r>
      <t>Very High Temperature (</t>
    </r>
    <r>
      <rPr>
        <vertAlign val="superscript"/>
        <sz val="10"/>
        <rFont val="Arial"/>
        <family val="2"/>
      </rPr>
      <t>o</t>
    </r>
    <r>
      <rPr>
        <sz val="10"/>
        <rFont val="Arial"/>
        <family val="2"/>
      </rPr>
      <t>C )</t>
    </r>
  </si>
  <si>
    <t>For Bin 5, the Upper Limit is the Upper Outdoor Temperature as per D.1.3.2.1</t>
  </si>
  <si>
    <t>For Bin 1, the Lower Limit is the Lowest Outdoor Temperature as per D.1.3.2.1</t>
  </si>
  <si>
    <t>Taken from EN 14825 test data</t>
  </si>
  <si>
    <t>Heating Capacity at Low Temp (kW)</t>
  </si>
  <si>
    <t>Heating Capacity at Medium Temp (kW)</t>
  </si>
  <si>
    <t>Heating Capacity at High Temp (kW)</t>
  </si>
  <si>
    <t>Heating Capacity at Very High Temp (kW)</t>
  </si>
  <si>
    <t>COP at sink temperature Low Temp (kW/kW)</t>
  </si>
  <si>
    <t>COP at sink temperature Medium Temp  (kW/kW)</t>
  </si>
  <si>
    <t>COP at sink temperature High Temp  (kW/kW)</t>
  </si>
  <si>
    <t>COP at sink temperature Very High Temp  (kW/kW)</t>
  </si>
  <si>
    <t>Taken from Input Sheet Low Temperature COP</t>
  </si>
  <si>
    <t>Taken from Input Sheet Medium Temperature COP</t>
  </si>
  <si>
    <t>Taken from Input Sheet High Temperature COP</t>
  </si>
  <si>
    <t>Taken from Input Sheet Very Temperature COP</t>
  </si>
  <si>
    <t>Taken from Input Sheet Low Temperature Capacity</t>
  </si>
  <si>
    <t>Taken from Input Sheet Medium Temperature Capacity</t>
  </si>
  <si>
    <t>Taken from Input Sheet High Temperature Capacity</t>
  </si>
  <si>
    <t>Taken from Input Sheet Very Temperature Capacity</t>
  </si>
  <si>
    <t>Section F2.1</t>
  </si>
  <si>
    <r>
      <t>Lower Test Points - Temperature (</t>
    </r>
    <r>
      <rPr>
        <vertAlign val="superscript"/>
        <sz val="10"/>
        <rFont val="Arial"/>
        <family val="2"/>
      </rPr>
      <t>o</t>
    </r>
    <r>
      <rPr>
        <sz val="10"/>
        <rFont val="Arial"/>
        <family val="2"/>
      </rPr>
      <t>C)</t>
    </r>
  </si>
  <si>
    <r>
      <t>Higher Test Points - Temperature (</t>
    </r>
    <r>
      <rPr>
        <vertAlign val="superscript"/>
        <sz val="10"/>
        <rFont val="Arial"/>
        <family val="2"/>
      </rPr>
      <t>o</t>
    </r>
    <r>
      <rPr>
        <sz val="10"/>
        <rFont val="Arial"/>
        <family val="2"/>
      </rPr>
      <t>C )</t>
    </r>
  </si>
  <si>
    <t>Lower Test Points - COP (kWh/kWh)</t>
  </si>
  <si>
    <t>Higher Test Points - COP (kWh/kWh)</t>
  </si>
  <si>
    <t>Lower Test Points - Heating Capacity (kW)</t>
  </si>
  <si>
    <t>Higher Test Points - Heating Capacity (kW)</t>
  </si>
  <si>
    <t>Fraction of Demand met by backup energy to meet temperature shortfall</t>
  </si>
  <si>
    <r>
      <rPr>
        <vertAlign val="superscript"/>
        <sz val="10"/>
        <rFont val="Arial"/>
        <family val="2"/>
      </rPr>
      <t>o</t>
    </r>
    <r>
      <rPr>
        <sz val="10"/>
        <rFont val="Arial"/>
        <family val="2"/>
      </rPr>
      <t>C</t>
    </r>
  </si>
  <si>
    <t>Fraction of Demand met by backup to meet operation hours shortfall</t>
  </si>
  <si>
    <t>Heat Pump Electricity</t>
  </si>
  <si>
    <t>SPF</t>
  </si>
  <si>
    <t>EN 255-3</t>
  </si>
  <si>
    <t>Not applicable, for water and exhaust heat pumps the source temperature is constant, for air heat pumps we have test data at various conditions and for brine heat pumps as we don't have different source temperatures it is not possible to carry out interpolation.</t>
  </si>
  <si>
    <t>Temp Spread at Lower Temp</t>
  </si>
  <si>
    <t>Correction Factor COP Lower Temp Test Points</t>
  </si>
  <si>
    <t>Correction Factor COP Higher Temp Test Points</t>
  </si>
  <si>
    <t>Buffer Vessels for space heating only excluded, as per other systems in DEAP</t>
  </si>
  <si>
    <t>Energy to be produced for SH (kWh)</t>
  </si>
  <si>
    <t>Energy to be produced for DHW (kWh)</t>
  </si>
  <si>
    <t>Energy Required from Heat Pump (kWh)</t>
  </si>
  <si>
    <t>Supply Flow Temp oC…B1</t>
  </si>
  <si>
    <t>Energy Required from back up (kWh)…Eqt 40</t>
  </si>
  <si>
    <t>Appropriate Test Data</t>
  </si>
  <si>
    <t>Lower Test Points</t>
  </si>
  <si>
    <t>Higher Test Points</t>
  </si>
  <si>
    <t>Linear Interpolation (5.3.5.1.3) (Eqt D12)</t>
  </si>
  <si>
    <t>Standard Rating Conditions</t>
  </si>
  <si>
    <t>Based on EN 14511</t>
  </si>
  <si>
    <t>Required Heating Capacity at design conditions</t>
  </si>
  <si>
    <t>Required Mass flow at design conditions</t>
  </si>
  <si>
    <t>Temp Spread at Lower Temp Test Points at design conditions</t>
  </si>
  <si>
    <t>Temp Spread at Higher Temp Test Points at design conditions</t>
  </si>
  <si>
    <t>COP corrected for Lower Temp</t>
  </si>
  <si>
    <t>COP corrected for Higher Temp</t>
  </si>
  <si>
    <t>3. Building Data</t>
  </si>
  <si>
    <t>4. Heat pump Data</t>
  </si>
  <si>
    <t>5. Heating</t>
  </si>
  <si>
    <t>6. Domestic Hot Water</t>
  </si>
  <si>
    <t>7. Product Performance Data</t>
  </si>
  <si>
    <t>W/K</t>
  </si>
  <si>
    <t>Required Heating Capacity at design conditions.</t>
  </si>
  <si>
    <t>Heating water operating limit temperature (WTOL)</t>
  </si>
  <si>
    <t>Select all that apply:</t>
  </si>
  <si>
    <t>Based on SAP input parameters.</t>
  </si>
  <si>
    <t>Biodiesel from renewable sources only</t>
  </si>
  <si>
    <t>Bioethanol from renewable sources only</t>
  </si>
  <si>
    <t>An Integral Hot Water Store forms part of the Heat Pump, refer to DEAP Heat Pump Methodology for guidance.</t>
  </si>
  <si>
    <t>Annual water heating provided by main water heating system</t>
  </si>
  <si>
    <t>kW/kW</t>
  </si>
  <si>
    <t>Based on Table 5 of EN 16147</t>
  </si>
  <si>
    <t>Source from Ecodesign Data, manufacturers data or accredited tests to EN 16147</t>
  </si>
  <si>
    <t>Electricity required by Back Up Heater</t>
  </si>
  <si>
    <t>Efficiency Adjustment Factor</t>
  </si>
  <si>
    <t>Source from Net Space Heat Demand "Required mean internal temperature during heating hours degC"</t>
  </si>
  <si>
    <t>Medium Temperature</t>
  </si>
  <si>
    <t>High Temperature
Data is mandatory requirement under Ecodesign Directive (Note its referred to as Medium Temperature Application in Ecodesign directive)</t>
  </si>
  <si>
    <t>Plant Size Ratio</t>
  </si>
  <si>
    <t>PSR</t>
  </si>
  <si>
    <t>Total Back Up Heater</t>
  </si>
  <si>
    <t>SAP Methodology - Table N9</t>
  </si>
  <si>
    <t>SAP Methodology Back Up Heater based on Plant Size Ratio</t>
  </si>
  <si>
    <t>Air used as Emitter (to Air Units)</t>
  </si>
  <si>
    <t>5K is based on EN14511 for electrically driven heat pumps, 4.182 kJ/kg/K is the specific heat capacity of water.</t>
  </si>
  <si>
    <t>based on test data</t>
  </si>
  <si>
    <t>Tapping Cycle</t>
  </si>
  <si>
    <t>3XS</t>
  </si>
  <si>
    <t>XXS</t>
  </si>
  <si>
    <t>XS</t>
  </si>
  <si>
    <t>3XL</t>
  </si>
  <si>
    <t>4XL</t>
  </si>
  <si>
    <t>From Ecodesign / 814</t>
  </si>
  <si>
    <t>Declared Load Profile</t>
  </si>
  <si>
    <t>DHW Demand based on Cycle</t>
  </si>
  <si>
    <t>based on default for Cycle</t>
  </si>
  <si>
    <t>DHW Demand for Dwelling</t>
  </si>
  <si>
    <t>Min Volume for cycle</t>
  </si>
  <si>
    <t>Source from Ecodesign Data or accredited tests to EN 16147, set as 0 if unknown</t>
  </si>
  <si>
    <t>Error - Test</t>
  </si>
  <si>
    <t>Error - Dwelling</t>
  </si>
  <si>
    <t>EN 14825:2013 -Table 15 (ASHP) or Table 27 (GSHP)</t>
  </si>
  <si>
    <t>EN 14825:2013 -  Table 6 (AAHP), Table 9 (GAHP), Table 18 (ASHP) or Table 30 (GSHP)</t>
  </si>
  <si>
    <r>
      <t>A (88%)
-7</t>
    </r>
    <r>
      <rPr>
        <b/>
        <vertAlign val="superscript"/>
        <sz val="12"/>
        <color indexed="8"/>
        <rFont val="Calibri"/>
        <family val="2"/>
      </rPr>
      <t>o</t>
    </r>
    <r>
      <rPr>
        <b/>
        <sz val="12"/>
        <color indexed="8"/>
        <rFont val="Calibri"/>
        <family val="2"/>
      </rPr>
      <t>C</t>
    </r>
  </si>
  <si>
    <r>
      <t>B (54%)
2</t>
    </r>
    <r>
      <rPr>
        <b/>
        <vertAlign val="superscript"/>
        <sz val="12"/>
        <color indexed="8"/>
        <rFont val="Calibri"/>
        <family val="2"/>
      </rPr>
      <t>o</t>
    </r>
    <r>
      <rPr>
        <b/>
        <sz val="12"/>
        <color indexed="8"/>
        <rFont val="Calibri"/>
        <family val="2"/>
      </rPr>
      <t>C</t>
    </r>
  </si>
  <si>
    <r>
      <t>C (35%)
7</t>
    </r>
    <r>
      <rPr>
        <b/>
        <vertAlign val="superscript"/>
        <sz val="12"/>
        <color indexed="8"/>
        <rFont val="Calibri"/>
        <family val="2"/>
      </rPr>
      <t>o</t>
    </r>
    <r>
      <rPr>
        <b/>
        <sz val="12"/>
        <color indexed="8"/>
        <rFont val="Calibri"/>
        <family val="2"/>
      </rPr>
      <t>C</t>
    </r>
  </si>
  <si>
    <r>
      <t>D (15%)
12</t>
    </r>
    <r>
      <rPr>
        <b/>
        <vertAlign val="superscript"/>
        <sz val="12"/>
        <color indexed="8"/>
        <rFont val="Calibri"/>
        <family val="2"/>
      </rPr>
      <t>o</t>
    </r>
    <r>
      <rPr>
        <b/>
        <sz val="12"/>
        <color indexed="8"/>
        <rFont val="Calibri"/>
        <family val="2"/>
      </rPr>
      <t>C</t>
    </r>
  </si>
  <si>
    <t>E* (100%)
TOL</t>
  </si>
  <si>
    <t>Temperature Control 
(refered to as Capacity Control in Ecodesign Standard Template)</t>
  </si>
  <si>
    <t>Source of data</t>
  </si>
  <si>
    <r>
      <t>Water heating energy efficiency, η</t>
    </r>
    <r>
      <rPr>
        <sz val="10.8"/>
        <rFont val="Calibri"/>
        <family val="2"/>
      </rPr>
      <t>wh</t>
    </r>
  </si>
  <si>
    <t>Coefficient of Performance, COP</t>
  </si>
  <si>
    <t>Water heating energy efficiency, ηwh</t>
  </si>
  <si>
    <t xml:space="preserve">Equivalent Coefficient of Performance </t>
  </si>
  <si>
    <t>TOL</t>
  </si>
  <si>
    <t>Supply Flow Temperature based on Single Test Points</t>
  </si>
  <si>
    <t>Equation B1 - Based on 55oC only</t>
  </si>
  <si>
    <r>
      <t>Source from Ecodesign Data or accredited tests to EN 16147, set at 40</t>
    </r>
    <r>
      <rPr>
        <vertAlign val="superscript"/>
        <sz val="12"/>
        <rFont val="Calibri"/>
        <family val="2"/>
      </rPr>
      <t>o</t>
    </r>
    <r>
      <rPr>
        <sz val="12"/>
        <rFont val="Calibri"/>
        <family val="2"/>
      </rPr>
      <t>C if unknown.</t>
    </r>
  </si>
  <si>
    <r>
      <t>Source from accredited test data certificate, set at 40</t>
    </r>
    <r>
      <rPr>
        <vertAlign val="superscript"/>
        <sz val="12"/>
        <rFont val="Calibri"/>
        <family val="2"/>
      </rPr>
      <t>o</t>
    </r>
    <r>
      <rPr>
        <sz val="12"/>
        <rFont val="Calibri"/>
        <family val="2"/>
      </rPr>
      <t>C if unknown.</t>
    </r>
  </si>
  <si>
    <t>Required Flow Temperature from Heat Pump to Hot Water Storage</t>
  </si>
  <si>
    <r>
      <t>Source Temperature (</t>
    </r>
    <r>
      <rPr>
        <vertAlign val="superscript"/>
        <sz val="10"/>
        <rFont val="Arial"/>
        <family val="2"/>
      </rPr>
      <t>o</t>
    </r>
    <r>
      <rPr>
        <sz val="10"/>
        <rFont val="Arial"/>
        <family val="2"/>
      </rPr>
      <t>C)</t>
    </r>
  </si>
  <si>
    <t>Linear Interpolation (5.3.5.1.3), refer to Eqt D11
Single Point eqt C5/C6</t>
  </si>
  <si>
    <t>Enter this in DEAP: energy requirements: fuel data: Renewable Energy: Energy Saved or Produced: Renewable Thermal: Part L Total contribution (kWh/yr). Note: this is only applied to Part L renewable contribution in new dwelling assessments.</t>
  </si>
  <si>
    <t>* Interpolation equation as per EN 15316, however using same methodology as MCS tool as single point data may ony be available</t>
  </si>
  <si>
    <t>Heating Capacity kW…As per D12 and MCS Tool* (see below)</t>
  </si>
  <si>
    <t>Supply Flow Temperature based on 55oC, to meet the mandatory test points in Ecodesign, to use for single test point data</t>
  </si>
  <si>
    <t>Refer to Heating Capacity calculated for each external temperature as per Column W. Note: As per Annex D, heating capacity cannot be adjusted for single test points</t>
  </si>
  <si>
    <t xml:space="preserve">Version 1  </t>
  </si>
  <si>
    <t>Publication Date: Q1 2016</t>
  </si>
  <si>
    <t>Test Check</t>
  </si>
  <si>
    <t>Installed Check</t>
  </si>
  <si>
    <t>WARNING: The Test Storage Volume does not meet requirements in Ecodesign Directive, the assessor must contact the manufacturer to advise that test volume is not appropriate for the declared load profile and request revised test results.</t>
  </si>
  <si>
    <t>WARNING: The test data is not appropriate for the installation within the dwelling, the assessor must contact the client/ designer and installer, advising that the installed hot water cylinder is not appropriate for the Ecodesign Directive efficiency data and therefore the heat pump will not perform to the same efficiency.</t>
  </si>
  <si>
    <t>For Single set of test points, the COP is based on adjustment in Annex C and is based on Supply Temp of 55oC, to meet the mandatory test results for Ecodesign. As outlined in Annex C, accuracy deteriorates with increasing distance from test points therefore methodology not used for Fixed Outlet</t>
  </si>
  <si>
    <t>Viessmann</t>
  </si>
  <si>
    <t>Vitocal 200 AWOT-M-E 201.08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</si>
</sst>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0"/>
  </numFmts>
  <fonts count="43" x14ac:knownFonts="1">
    <font>
      <sz val="10"/>
      <name val="Arial"/>
    </font>
    <font>
      <sz val="10"/>
      <name val="Arial"/>
      <family val="2"/>
    </font>
    <font>
      <b/>
      <sz val="11"/>
      <color indexed="8"/>
      <name val="Calibri"/>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2"/>
      <color indexed="8"/>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2"/>
      <color indexed="63"/>
      <name val="Calibri"/>
      <family val="2"/>
    </font>
    <font>
      <sz val="12"/>
      <name val="Calibri"/>
      <family val="2"/>
    </font>
    <font>
      <b/>
      <sz val="12"/>
      <color indexed="8"/>
      <name val="Calibri"/>
      <family val="2"/>
    </font>
    <font>
      <sz val="12"/>
      <color indexed="10"/>
      <name val="Calibri"/>
      <family val="2"/>
    </font>
    <font>
      <b/>
      <sz val="12"/>
      <color indexed="10"/>
      <name val="Calibri"/>
      <family val="2"/>
    </font>
    <font>
      <b/>
      <sz val="12"/>
      <name val="Calibri"/>
      <family val="2"/>
    </font>
    <font>
      <b/>
      <vertAlign val="superscript"/>
      <sz val="12"/>
      <color indexed="10"/>
      <name val="Calibri"/>
      <family val="2"/>
    </font>
    <font>
      <b/>
      <u/>
      <sz val="18"/>
      <color indexed="56"/>
      <name val="Calibri"/>
      <family val="2"/>
    </font>
    <font>
      <b/>
      <sz val="10"/>
      <name val="Arial"/>
      <family val="2"/>
    </font>
    <font>
      <sz val="10"/>
      <color indexed="10"/>
      <name val="Arial"/>
      <family val="2"/>
    </font>
    <font>
      <sz val="12"/>
      <color indexed="10"/>
      <name val="Calibri"/>
      <family val="2"/>
    </font>
    <font>
      <b/>
      <sz val="14"/>
      <color indexed="56"/>
      <name val="Calibri"/>
      <family val="2"/>
    </font>
    <font>
      <vertAlign val="superscript"/>
      <sz val="12"/>
      <name val="Calibri"/>
      <family val="2"/>
    </font>
    <font>
      <vertAlign val="superscript"/>
      <sz val="10"/>
      <name val="Arial"/>
      <family val="2"/>
    </font>
    <font>
      <b/>
      <sz val="14"/>
      <name val="Arial"/>
      <family val="2"/>
    </font>
    <font>
      <b/>
      <sz val="16"/>
      <color indexed="9"/>
      <name val="Calibri"/>
      <family val="2"/>
    </font>
    <font>
      <b/>
      <sz val="12"/>
      <color rgb="FFFF0000"/>
      <name val="Calibri"/>
      <family val="2"/>
    </font>
    <font>
      <b/>
      <vertAlign val="superscript"/>
      <sz val="12"/>
      <color indexed="8"/>
      <name val="Calibri"/>
      <family val="2"/>
    </font>
    <font>
      <sz val="10.8"/>
      <name val="Calibri"/>
      <family val="2"/>
    </font>
    <font>
      <sz val="10"/>
      <color rgb="FFFF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medium">
        <color indexed="18"/>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0">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xf numFmtId="0" fontId="18" fillId="0" borderId="0"/>
    <xf numFmtId="0" fontId="18" fillId="0" borderId="0"/>
    <xf numFmtId="0" fontId="1" fillId="0" borderId="0">
      <protection locked="0"/>
    </xf>
    <xf numFmtId="0" fontId="1" fillId="0" borderId="0"/>
    <xf numFmtId="0" fontId="4" fillId="0" borderId="0"/>
    <xf numFmtId="0" fontId="4" fillId="0" borderId="0"/>
    <xf numFmtId="0" fontId="4"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 fillId="0" borderId="9" applyNumberFormat="0" applyFill="0" applyAlignment="0" applyProtection="0"/>
    <xf numFmtId="0" fontId="22" fillId="0" borderId="0" applyNumberFormat="0" applyFill="0" applyBorder="0" applyAlignment="0" applyProtection="0"/>
  </cellStyleXfs>
  <cellXfs count="230">
    <xf numFmtId="0" fontId="0" fillId="0" borderId="0" xfId="0"/>
    <xf numFmtId="0" fontId="18" fillId="24" borderId="10" xfId="39" applyFont="1" applyFill="1" applyBorder="1" applyAlignment="1" applyProtection="1">
      <alignment horizontal="left" vertical="top" wrapText="1"/>
      <protection locked="0"/>
    </xf>
    <xf numFmtId="2" fontId="18" fillId="24" borderId="10" xfId="39" applyNumberFormat="1" applyFont="1" applyFill="1" applyBorder="1" applyAlignment="1" applyProtection="1">
      <alignment horizontal="left" wrapText="1"/>
      <protection locked="0"/>
    </xf>
    <xf numFmtId="0" fontId="18" fillId="24" borderId="10" xfId="39" applyFont="1" applyFill="1" applyBorder="1" applyAlignment="1" applyProtection="1">
      <alignment horizontal="left" wrapText="1"/>
      <protection locked="0"/>
    </xf>
    <xf numFmtId="0" fontId="24" fillId="0" borderId="0" xfId="41" applyFont="1" applyProtection="1"/>
    <xf numFmtId="0" fontId="25" fillId="0" borderId="0" xfId="41" applyFont="1" applyAlignment="1" applyProtection="1">
      <alignment horizontal="center"/>
    </xf>
    <xf numFmtId="0" fontId="18" fillId="0" borderId="0" xfId="41" applyFont="1" applyAlignment="1" applyProtection="1">
      <alignment horizontal="center"/>
    </xf>
    <xf numFmtId="0" fontId="25" fillId="0" borderId="0" xfId="41" applyFont="1" applyAlignment="1" applyProtection="1">
      <alignment horizontal="left" vertical="center"/>
    </xf>
    <xf numFmtId="0" fontId="24" fillId="0" borderId="0" xfId="0" applyFont="1" applyFill="1" applyProtection="1">
      <protection hidden="1"/>
    </xf>
    <xf numFmtId="0" fontId="25" fillId="0" borderId="0"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8" fillId="0" borderId="11" xfId="0" applyFont="1" applyFill="1" applyBorder="1" applyAlignment="1" applyProtection="1">
      <alignment horizontal="center" vertical="center" wrapText="1"/>
      <protection hidden="1"/>
    </xf>
    <xf numFmtId="0" fontId="28" fillId="0" borderId="13" xfId="0" applyFont="1" applyFill="1" applyBorder="1" applyAlignment="1" applyProtection="1">
      <alignment horizontal="center" vertical="center" wrapText="1"/>
      <protection hidden="1"/>
    </xf>
    <xf numFmtId="0" fontId="28" fillId="0" borderId="14" xfId="0" applyFont="1" applyFill="1" applyBorder="1" applyAlignment="1" applyProtection="1">
      <alignment horizontal="center" vertical="center" wrapText="1"/>
      <protection hidden="1"/>
    </xf>
    <xf numFmtId="0" fontId="28" fillId="0" borderId="15" xfId="0" applyFont="1" applyFill="1" applyBorder="1" applyAlignment="1" applyProtection="1">
      <alignment horizontal="center" vertical="center" wrapText="1"/>
      <protection hidden="1"/>
    </xf>
    <xf numFmtId="0" fontId="28" fillId="0" borderId="16" xfId="0" applyFont="1" applyFill="1" applyBorder="1" applyAlignment="1" applyProtection="1">
      <alignment horizontal="center" vertical="center" wrapText="1"/>
      <protection hidden="1"/>
    </xf>
    <xf numFmtId="2" fontId="24" fillId="24" borderId="17" xfId="0" applyNumberFormat="1" applyFont="1" applyFill="1" applyBorder="1" applyAlignment="1" applyProtection="1">
      <protection locked="0"/>
    </xf>
    <xf numFmtId="2" fontId="24" fillId="24" borderId="18" xfId="0" applyNumberFormat="1" applyFont="1" applyFill="1" applyBorder="1" applyAlignment="1" applyProtection="1">
      <protection locked="0"/>
    </xf>
    <xf numFmtId="2" fontId="24" fillId="24" borderId="10" xfId="0" applyNumberFormat="1" applyFont="1" applyFill="1" applyBorder="1" applyAlignment="1" applyProtection="1">
      <protection locked="0"/>
    </xf>
    <xf numFmtId="2" fontId="24" fillId="24" borderId="19" xfId="0" applyNumberFormat="1" applyFont="1" applyFill="1" applyBorder="1" applyAlignment="1" applyProtection="1">
      <protection locked="0"/>
    </xf>
    <xf numFmtId="2" fontId="24" fillId="24" borderId="20" xfId="0" applyNumberFormat="1" applyFont="1" applyFill="1" applyBorder="1" applyAlignment="1" applyProtection="1">
      <protection locked="0"/>
    </xf>
    <xf numFmtId="0" fontId="24" fillId="0" borderId="21" xfId="0" applyFont="1" applyFill="1" applyBorder="1" applyAlignment="1" applyProtection="1">
      <alignment horizontal="right"/>
      <protection hidden="1"/>
    </xf>
    <xf numFmtId="0" fontId="0" fillId="0" borderId="0" xfId="0" applyAlignment="1">
      <alignment wrapText="1"/>
    </xf>
    <xf numFmtId="0" fontId="0" fillId="0" borderId="0" xfId="0" applyAlignment="1">
      <alignment horizontal="right" wrapText="1"/>
    </xf>
    <xf numFmtId="1" fontId="0" fillId="0" borderId="0" xfId="0" applyNumberFormat="1" applyAlignment="1">
      <alignment horizontal="center" wrapText="1"/>
    </xf>
    <xf numFmtId="0" fontId="19" fillId="0" borderId="0" xfId="0" applyFont="1" applyAlignment="1">
      <alignment horizontal="center" vertical="center" wrapText="1"/>
    </xf>
    <xf numFmtId="164" fontId="0" fillId="0" borderId="0" xfId="0" applyNumberFormat="1"/>
    <xf numFmtId="165" fontId="0" fillId="0" borderId="0" xfId="0" applyNumberFormat="1"/>
    <xf numFmtId="2" fontId="0" fillId="0" borderId="0" xfId="0" applyNumberFormat="1"/>
    <xf numFmtId="0" fontId="18" fillId="0" borderId="10" xfId="39" applyFont="1" applyFill="1" applyBorder="1" applyAlignment="1" applyProtection="1">
      <alignment vertical="top" wrapText="1"/>
    </xf>
    <xf numFmtId="0" fontId="24" fillId="0" borderId="21" xfId="0" applyFont="1" applyFill="1" applyBorder="1" applyProtection="1">
      <protection hidden="1"/>
    </xf>
    <xf numFmtId="0" fontId="24" fillId="0" borderId="18" xfId="0" applyFont="1" applyFill="1" applyBorder="1" applyAlignment="1" applyProtection="1">
      <alignment horizontal="left" wrapText="1"/>
      <protection hidden="1"/>
    </xf>
    <xf numFmtId="0" fontId="24" fillId="0" borderId="19" xfId="0" applyFont="1" applyFill="1" applyBorder="1" applyAlignment="1" applyProtection="1">
      <alignment horizontal="left" wrapText="1"/>
      <protection hidden="1"/>
    </xf>
    <xf numFmtId="0" fontId="24" fillId="0" borderId="21" xfId="0" applyFont="1" applyFill="1" applyBorder="1" applyAlignment="1" applyProtection="1">
      <alignment wrapText="1"/>
      <protection hidden="1"/>
    </xf>
    <xf numFmtId="0" fontId="31" fillId="0" borderId="0" xfId="0" applyFont="1"/>
    <xf numFmtId="0" fontId="24" fillId="0" borderId="0" xfId="41" applyFont="1" applyFill="1" applyProtection="1"/>
    <xf numFmtId="0" fontId="32" fillId="0" borderId="0" xfId="0" applyFont="1"/>
    <xf numFmtId="0" fontId="24" fillId="0" borderId="22" xfId="0" applyFont="1" applyFill="1" applyBorder="1" applyProtection="1">
      <protection hidden="1"/>
    </xf>
    <xf numFmtId="2" fontId="24" fillId="24" borderId="23" xfId="0" applyNumberFormat="1" applyFont="1" applyFill="1" applyBorder="1" applyAlignment="1" applyProtection="1">
      <protection locked="0"/>
    </xf>
    <xf numFmtId="1" fontId="0" fillId="0" borderId="0" xfId="0" applyNumberFormat="1"/>
    <xf numFmtId="0" fontId="25" fillId="0" borderId="0" xfId="0" applyFont="1" applyFill="1" applyBorder="1" applyAlignment="1" applyProtection="1">
      <protection hidden="1"/>
    </xf>
    <xf numFmtId="0" fontId="24" fillId="0" borderId="24" xfId="0" applyFont="1" applyFill="1" applyBorder="1" applyAlignment="1" applyProtection="1">
      <alignment horizontal="left" wrapText="1"/>
      <protection hidden="1"/>
    </xf>
    <xf numFmtId="0" fontId="24" fillId="25" borderId="17" xfId="0" applyFont="1" applyFill="1" applyBorder="1" applyAlignment="1" applyProtection="1">
      <alignment horizontal="right"/>
      <protection hidden="1"/>
    </xf>
    <xf numFmtId="2" fontId="0" fillId="25" borderId="10" xfId="0" applyNumberFormat="1" applyFill="1" applyBorder="1"/>
    <xf numFmtId="2" fontId="24" fillId="0" borderId="0" xfId="0" applyNumberFormat="1" applyFont="1" applyFill="1" applyBorder="1" applyAlignment="1" applyProtection="1">
      <alignment horizontal="right" wrapText="1"/>
      <protection locked="0"/>
    </xf>
    <xf numFmtId="2" fontId="24" fillId="0" borderId="0" xfId="0" applyNumberFormat="1" applyFont="1" applyFill="1" applyBorder="1" applyAlignment="1" applyProtection="1">
      <alignment wrapText="1"/>
      <protection locked="0"/>
    </xf>
    <xf numFmtId="164" fontId="24" fillId="0" borderId="0" xfId="0" applyNumberFormat="1" applyFont="1" applyFill="1" applyBorder="1" applyAlignment="1" applyProtection="1">
      <alignment wrapText="1"/>
      <protection locked="0"/>
    </xf>
    <xf numFmtId="0" fontId="17" fillId="0" borderId="0" xfId="0" applyFont="1" applyAlignment="1">
      <alignment wrapText="1"/>
    </xf>
    <xf numFmtId="0" fontId="18" fillId="0" borderId="10" xfId="42" applyFont="1" applyFill="1" applyBorder="1" applyProtection="1">
      <protection hidden="1"/>
    </xf>
    <xf numFmtId="49" fontId="30" fillId="26" borderId="0" xfId="43" applyNumberFormat="1" applyFont="1" applyFill="1" applyBorder="1" applyAlignment="1" applyProtection="1">
      <alignment horizontal="left" vertical="center" wrapText="1"/>
    </xf>
    <xf numFmtId="0" fontId="18" fillId="0" borderId="25" xfId="39" applyFont="1" applyFill="1" applyBorder="1" applyAlignment="1" applyProtection="1">
      <alignment vertical="top" wrapText="1"/>
    </xf>
    <xf numFmtId="0" fontId="18" fillId="24" borderId="25" xfId="39" applyFont="1" applyFill="1" applyBorder="1" applyAlignment="1" applyProtection="1">
      <alignment horizontal="left" vertical="top" wrapText="1"/>
      <protection locked="0"/>
    </xf>
    <xf numFmtId="0" fontId="18" fillId="0" borderId="26" xfId="39" applyFont="1" applyFill="1" applyBorder="1" applyAlignment="1" applyProtection="1">
      <alignment vertical="top" wrapText="1"/>
    </xf>
    <xf numFmtId="11" fontId="18" fillId="24" borderId="26" xfId="39" applyNumberFormat="1" applyFont="1" applyFill="1" applyBorder="1" applyAlignment="1" applyProtection="1">
      <alignment horizontal="left" wrapText="1"/>
      <protection locked="0"/>
    </xf>
    <xf numFmtId="0" fontId="18" fillId="24" borderId="26" xfId="39" applyFont="1" applyFill="1" applyBorder="1" applyAlignment="1" applyProtection="1">
      <alignment horizontal="left" vertical="top" wrapText="1"/>
      <protection locked="0"/>
    </xf>
    <xf numFmtId="0" fontId="18" fillId="0" borderId="27" xfId="39" applyFont="1" applyFill="1" applyBorder="1" applyAlignment="1" applyProtection="1">
      <alignment vertical="top" wrapText="1"/>
    </xf>
    <xf numFmtId="0" fontId="23" fillId="27" borderId="12" xfId="39" applyFont="1" applyFill="1" applyBorder="1" applyAlignment="1" applyProtection="1">
      <alignment horizontal="left" vertical="top"/>
    </xf>
    <xf numFmtId="0" fontId="23" fillId="27" borderId="12" xfId="39" applyFont="1" applyFill="1" applyBorder="1" applyAlignment="1" applyProtection="1">
      <alignment horizontal="left"/>
    </xf>
    <xf numFmtId="0" fontId="23" fillId="27" borderId="12" xfId="39" applyFont="1" applyFill="1" applyBorder="1" applyAlignment="1" applyProtection="1">
      <alignment horizontal="left" vertical="top" wrapText="1"/>
    </xf>
    <xf numFmtId="0" fontId="18" fillId="0" borderId="0" xfId="41" applyFont="1" applyAlignment="1" applyProtection="1">
      <alignment horizontal="center" wrapText="1"/>
    </xf>
    <xf numFmtId="0" fontId="24" fillId="0" borderId="0" xfId="41" applyFont="1" applyFill="1" applyAlignment="1" applyProtection="1">
      <alignment horizontal="left" wrapText="1"/>
    </xf>
    <xf numFmtId="0" fontId="18" fillId="27" borderId="12" xfId="39" applyFont="1" applyFill="1" applyBorder="1" applyAlignment="1" applyProtection="1">
      <alignment horizontal="left" wrapText="1"/>
    </xf>
    <xf numFmtId="0" fontId="24" fillId="27" borderId="12" xfId="0" applyFont="1" applyFill="1" applyBorder="1" applyProtection="1">
      <protection hidden="1"/>
    </xf>
    <xf numFmtId="0" fontId="24" fillId="0" borderId="29" xfId="0" applyFont="1" applyFill="1" applyBorder="1" applyAlignment="1" applyProtection="1">
      <alignment horizontal="right"/>
      <protection hidden="1"/>
    </xf>
    <xf numFmtId="0" fontId="24" fillId="0" borderId="23" xfId="0" applyFont="1" applyFill="1" applyBorder="1" applyAlignment="1" applyProtection="1">
      <alignment horizontal="right"/>
      <protection hidden="1"/>
    </xf>
    <xf numFmtId="2" fontId="24" fillId="24" borderId="17" xfId="0" applyNumberFormat="1" applyFont="1" applyFill="1" applyBorder="1" applyAlignment="1" applyProtection="1">
      <alignment horizontal="right"/>
      <protection locked="0"/>
    </xf>
    <xf numFmtId="2" fontId="24" fillId="24" borderId="30" xfId="0" applyNumberFormat="1" applyFont="1" applyFill="1" applyBorder="1" applyAlignment="1" applyProtection="1">
      <protection locked="0"/>
    </xf>
    <xf numFmtId="0" fontId="24" fillId="0" borderId="31" xfId="0" applyFont="1" applyFill="1" applyBorder="1" applyAlignment="1" applyProtection="1">
      <alignment horizontal="center"/>
      <protection hidden="1"/>
    </xf>
    <xf numFmtId="0" fontId="17" fillId="0" borderId="0" xfId="0" applyFont="1"/>
    <xf numFmtId="0" fontId="0" fillId="0" borderId="0" xfId="0" applyFill="1"/>
    <xf numFmtId="0" fontId="24" fillId="25" borderId="10" xfId="0" applyFont="1" applyFill="1" applyBorder="1" applyProtection="1">
      <protection hidden="1"/>
    </xf>
    <xf numFmtId="0" fontId="28" fillId="0" borderId="0" xfId="0" applyFont="1" applyFill="1" applyBorder="1" applyAlignment="1" applyProtection="1">
      <alignment horizontal="right"/>
      <protection hidden="1"/>
    </xf>
    <xf numFmtId="2" fontId="24" fillId="0" borderId="0" xfId="0" applyNumberFormat="1" applyFont="1" applyFill="1" applyBorder="1" applyAlignment="1" applyProtection="1">
      <alignment horizontal="left" wrapText="1"/>
      <protection locked="0"/>
    </xf>
    <xf numFmtId="164" fontId="24" fillId="0" borderId="0" xfId="0" applyNumberFormat="1" applyFont="1" applyFill="1" applyBorder="1" applyAlignment="1" applyProtection="1">
      <alignment horizontal="left" wrapText="1"/>
      <protection locked="0"/>
    </xf>
    <xf numFmtId="2" fontId="1" fillId="28" borderId="10" xfId="0" applyNumberFormat="1" applyFont="1" applyFill="1" applyBorder="1"/>
    <xf numFmtId="165" fontId="0" fillId="25" borderId="10" xfId="0" applyNumberFormat="1" applyFill="1" applyBorder="1"/>
    <xf numFmtId="0" fontId="24" fillId="0" borderId="18" xfId="0" applyFont="1" applyFill="1" applyBorder="1" applyAlignment="1" applyProtection="1">
      <alignment horizontal="right"/>
      <protection hidden="1"/>
    </xf>
    <xf numFmtId="0" fontId="24" fillId="0" borderId="10" xfId="0" applyFont="1" applyFill="1" applyBorder="1" applyAlignment="1" applyProtection="1">
      <alignment horizontal="right"/>
      <protection hidden="1"/>
    </xf>
    <xf numFmtId="0" fontId="24" fillId="0" borderId="17" xfId="0" applyFont="1" applyFill="1" applyBorder="1" applyAlignment="1" applyProtection="1">
      <alignment horizontal="right"/>
      <protection hidden="1"/>
    </xf>
    <xf numFmtId="0" fontId="26" fillId="0" borderId="0" xfId="0" applyFont="1" applyFill="1" applyAlignment="1" applyProtection="1">
      <alignment horizontal="center" wrapText="1"/>
      <protection hidden="1"/>
    </xf>
    <xf numFmtId="0" fontId="24" fillId="0" borderId="34" xfId="0" applyFont="1" applyFill="1" applyBorder="1" applyAlignment="1" applyProtection="1">
      <alignment horizontal="center"/>
      <protection hidden="1"/>
    </xf>
    <xf numFmtId="0" fontId="24" fillId="0" borderId="35" xfId="0" applyFont="1" applyFill="1" applyBorder="1" applyAlignment="1" applyProtection="1">
      <alignment horizontal="center"/>
      <protection hidden="1"/>
    </xf>
    <xf numFmtId="0" fontId="24" fillId="0" borderId="36" xfId="0" applyFont="1" applyFill="1" applyBorder="1" applyAlignment="1" applyProtection="1">
      <alignment horizontal="center"/>
      <protection hidden="1"/>
    </xf>
    <xf numFmtId="0" fontId="24" fillId="0" borderId="37" xfId="0" applyFont="1" applyFill="1" applyBorder="1" applyAlignment="1" applyProtection="1">
      <alignment horizontal="center"/>
      <protection hidden="1"/>
    </xf>
    <xf numFmtId="2" fontId="1" fillId="0" borderId="0" xfId="0" applyNumberFormat="1" applyFont="1" applyFill="1" applyBorder="1"/>
    <xf numFmtId="2" fontId="0" fillId="0" borderId="0" xfId="0" applyNumberFormat="1" applyFill="1" applyBorder="1"/>
    <xf numFmtId="9" fontId="18" fillId="24" borderId="10" xfId="46" applyFont="1" applyFill="1" applyBorder="1" applyAlignment="1" applyProtection="1">
      <alignment horizontal="left" vertical="top" wrapText="1"/>
      <protection locked="0"/>
    </xf>
    <xf numFmtId="0" fontId="0" fillId="29" borderId="10" xfId="0" applyFill="1" applyBorder="1"/>
    <xf numFmtId="2" fontId="24" fillId="0" borderId="0" xfId="0" applyNumberFormat="1" applyFont="1" applyFill="1" applyBorder="1" applyAlignment="1" applyProtection="1">
      <alignment horizontal="right"/>
      <protection locked="0"/>
    </xf>
    <xf numFmtId="2" fontId="24" fillId="0" borderId="0" xfId="0" applyNumberFormat="1" applyFont="1" applyFill="1" applyBorder="1" applyAlignment="1" applyProtection="1">
      <protection locked="0"/>
    </xf>
    <xf numFmtId="164" fontId="24" fillId="0" borderId="0" xfId="0" applyNumberFormat="1" applyFont="1" applyFill="1" applyBorder="1" applyAlignment="1" applyProtection="1">
      <protection locked="0"/>
    </xf>
    <xf numFmtId="0" fontId="24" fillId="0" borderId="0" xfId="0" applyFont="1" applyFill="1" applyProtection="1"/>
    <xf numFmtId="0" fontId="24" fillId="0" borderId="0" xfId="0" applyFont="1" applyProtection="1"/>
    <xf numFmtId="2" fontId="34" fillId="26" borderId="0" xfId="0" applyNumberFormat="1" applyFont="1" applyFill="1" applyBorder="1" applyAlignment="1" applyProtection="1">
      <alignment vertical="center" wrapText="1"/>
    </xf>
    <xf numFmtId="2" fontId="34" fillId="26" borderId="38" xfId="0" applyNumberFormat="1" applyFont="1" applyFill="1" applyBorder="1" applyAlignment="1" applyProtection="1">
      <alignment vertical="center" wrapText="1"/>
    </xf>
    <xf numFmtId="0" fontId="24" fillId="27" borderId="12" xfId="0" applyFont="1" applyFill="1" applyBorder="1" applyProtection="1"/>
    <xf numFmtId="0" fontId="24" fillId="0" borderId="0" xfId="0" applyFont="1" applyFill="1" applyAlignment="1" applyProtection="1">
      <alignment wrapText="1"/>
    </xf>
    <xf numFmtId="0" fontId="24" fillId="0" borderId="0" xfId="0" applyFont="1" applyFill="1" applyAlignment="1" applyProtection="1">
      <alignment horizontal="left" wrapText="1"/>
    </xf>
    <xf numFmtId="0" fontId="18" fillId="25" borderId="10" xfId="39" applyFont="1" applyFill="1" applyBorder="1" applyAlignment="1" applyProtection="1">
      <alignment horizontal="left" vertical="top" wrapText="1"/>
    </xf>
    <xf numFmtId="0" fontId="35" fillId="0" borderId="0" xfId="0" applyFont="1" applyProtection="1"/>
    <xf numFmtId="0" fontId="28" fillId="27" borderId="12" xfId="0" applyFont="1" applyFill="1" applyBorder="1" applyProtection="1"/>
    <xf numFmtId="0" fontId="24" fillId="0" borderId="0" xfId="0" applyFont="1" applyFill="1" applyAlignment="1" applyProtection="1"/>
    <xf numFmtId="0" fontId="24" fillId="0" borderId="26" xfId="0" applyFont="1" applyBorder="1" applyProtection="1"/>
    <xf numFmtId="0" fontId="24" fillId="0" borderId="10" xfId="0" applyFont="1" applyBorder="1" applyProtection="1"/>
    <xf numFmtId="0" fontId="24" fillId="25" borderId="10" xfId="0" applyFont="1" applyFill="1" applyBorder="1" applyProtection="1"/>
    <xf numFmtId="0" fontId="24" fillId="0" borderId="10" xfId="0" applyFont="1" applyFill="1" applyBorder="1" applyProtection="1"/>
    <xf numFmtId="0" fontId="24" fillId="29" borderId="10" xfId="0" applyFont="1" applyFill="1" applyBorder="1" applyProtection="1"/>
    <xf numFmtId="0" fontId="24" fillId="0" borderId="0" xfId="0" applyFont="1" applyAlignment="1" applyProtection="1">
      <alignment wrapText="1"/>
    </xf>
    <xf numFmtId="0" fontId="24" fillId="25" borderId="10" xfId="0" applyFont="1" applyFill="1" applyBorder="1" applyAlignment="1" applyProtection="1">
      <alignment horizontal="left"/>
    </xf>
    <xf numFmtId="0" fontId="24" fillId="25" borderId="10" xfId="39" applyFont="1" applyFill="1" applyBorder="1" applyAlignment="1" applyProtection="1">
      <alignment horizontal="left" vertical="top" wrapText="1"/>
    </xf>
    <xf numFmtId="0" fontId="24" fillId="0" borderId="10" xfId="0" applyFont="1" applyFill="1" applyBorder="1" applyAlignment="1" applyProtection="1">
      <alignment wrapText="1"/>
    </xf>
    <xf numFmtId="0" fontId="24" fillId="28" borderId="0" xfId="0" applyFont="1" applyFill="1" applyProtection="1"/>
    <xf numFmtId="2" fontId="24" fillId="25" borderId="10" xfId="0" applyNumberFormat="1" applyFont="1" applyFill="1" applyBorder="1" applyProtection="1"/>
    <xf numFmtId="0" fontId="26" fillId="0" borderId="0" xfId="0" applyFont="1" applyAlignment="1" applyProtection="1">
      <alignment wrapText="1"/>
    </xf>
    <xf numFmtId="0" fontId="26" fillId="27" borderId="12" xfId="0" applyFont="1" applyFill="1" applyBorder="1" applyAlignment="1" applyProtection="1">
      <alignment wrapText="1"/>
    </xf>
    <xf numFmtId="0" fontId="18" fillId="25" borderId="10" xfId="39" applyFont="1" applyFill="1" applyBorder="1" applyAlignment="1" applyProtection="1">
      <alignment horizontal="right" wrapText="1"/>
    </xf>
    <xf numFmtId="0" fontId="26" fillId="0" borderId="0" xfId="0" applyFont="1" applyProtection="1"/>
    <xf numFmtId="0" fontId="24" fillId="29" borderId="26" xfId="0" applyFont="1" applyFill="1" applyBorder="1" applyAlignment="1" applyProtection="1">
      <alignment horizontal="right" wrapText="1"/>
    </xf>
    <xf numFmtId="0" fontId="24" fillId="0" borderId="10" xfId="0" applyFont="1" applyFill="1" applyBorder="1" applyAlignment="1" applyProtection="1">
      <alignment horizontal="right"/>
    </xf>
    <xf numFmtId="0" fontId="33" fillId="0" borderId="0" xfId="0" applyFont="1" applyProtection="1"/>
    <xf numFmtId="0" fontId="28" fillId="0" borderId="0" xfId="0" applyFont="1" applyAlignment="1" applyProtection="1">
      <alignment horizontal="center"/>
    </xf>
    <xf numFmtId="0" fontId="24" fillId="0" borderId="21" xfId="0" applyFont="1" applyBorder="1" applyProtection="1"/>
    <xf numFmtId="0" fontId="24" fillId="0" borderId="18" xfId="0" applyFont="1" applyBorder="1" applyProtection="1"/>
    <xf numFmtId="2" fontId="24" fillId="25" borderId="17" xfId="0" applyNumberFormat="1" applyFont="1" applyFill="1" applyBorder="1" applyProtection="1"/>
    <xf numFmtId="9" fontId="24" fillId="25" borderId="17" xfId="46" applyFont="1" applyFill="1" applyBorder="1" applyProtection="1"/>
    <xf numFmtId="0" fontId="24" fillId="0" borderId="19" xfId="0" applyFont="1" applyBorder="1" applyProtection="1"/>
    <xf numFmtId="2" fontId="24" fillId="25" borderId="20" xfId="0" applyNumberFormat="1" applyFont="1" applyFill="1" applyBorder="1" applyProtection="1"/>
    <xf numFmtId="0" fontId="24" fillId="0" borderId="39" xfId="0" applyFont="1" applyBorder="1" applyProtection="1"/>
    <xf numFmtId="2" fontId="24" fillId="25" borderId="40" xfId="0" applyNumberFormat="1" applyFont="1" applyFill="1" applyBorder="1" applyAlignment="1" applyProtection="1">
      <alignment wrapText="1"/>
    </xf>
    <xf numFmtId="0" fontId="24" fillId="24" borderId="26" xfId="0" applyFont="1" applyFill="1" applyBorder="1" applyProtection="1">
      <protection locked="0"/>
    </xf>
    <xf numFmtId="0" fontId="24" fillId="24" borderId="10" xfId="0" applyFont="1" applyFill="1" applyBorder="1" applyProtection="1">
      <protection locked="0"/>
    </xf>
    <xf numFmtId="9" fontId="24" fillId="24" borderId="10" xfId="46" applyFont="1" applyFill="1" applyBorder="1" applyProtection="1">
      <protection locked="0"/>
    </xf>
    <xf numFmtId="0" fontId="24" fillId="24" borderId="17" xfId="0" applyFont="1" applyFill="1" applyBorder="1" applyAlignment="1" applyProtection="1">
      <alignment horizontal="right"/>
      <protection locked="0" hidden="1"/>
    </xf>
    <xf numFmtId="0" fontId="24" fillId="24" borderId="23" xfId="0" applyFont="1" applyFill="1" applyBorder="1" applyAlignment="1" applyProtection="1">
      <alignment horizontal="right"/>
      <protection locked="0" hidden="1"/>
    </xf>
    <xf numFmtId="0" fontId="24" fillId="24" borderId="41" xfId="0" applyFont="1" applyFill="1" applyBorder="1" applyAlignment="1" applyProtection="1">
      <alignment horizontal="right"/>
      <protection locked="0" hidden="1"/>
    </xf>
    <xf numFmtId="0" fontId="24" fillId="24" borderId="20" xfId="0" applyFont="1" applyFill="1" applyBorder="1" applyAlignment="1" applyProtection="1">
      <alignment horizontal="right"/>
      <protection locked="0" hidden="1"/>
    </xf>
    <xf numFmtId="0" fontId="24" fillId="0" borderId="0" xfId="41" applyFont="1" applyFill="1" applyAlignment="1" applyProtection="1">
      <alignment wrapText="1"/>
      <protection locked="0"/>
    </xf>
    <xf numFmtId="0" fontId="24" fillId="0" borderId="0" xfId="41" applyFont="1" applyFill="1" applyAlignment="1" applyProtection="1">
      <alignment horizontal="left" wrapText="1"/>
      <protection locked="0"/>
    </xf>
    <xf numFmtId="0" fontId="24" fillId="0" borderId="0" xfId="41" applyFont="1" applyFill="1" applyAlignment="1" applyProtection="1">
      <protection locked="0"/>
    </xf>
    <xf numFmtId="0" fontId="24" fillId="0" borderId="0" xfId="0" applyFont="1" applyFill="1" applyAlignment="1" applyProtection="1">
      <alignment wrapText="1"/>
      <protection locked="0"/>
    </xf>
    <xf numFmtId="0" fontId="24" fillId="0" borderId="0" xfId="0" applyFont="1" applyFill="1" applyAlignment="1" applyProtection="1">
      <alignment horizontal="left" wrapText="1"/>
      <protection locked="0"/>
    </xf>
    <xf numFmtId="0" fontId="24" fillId="0" borderId="0" xfId="0" applyFont="1" applyFill="1" applyAlignment="1" applyProtection="1">
      <protection locked="0"/>
    </xf>
    <xf numFmtId="0" fontId="24" fillId="0" borderId="0" xfId="0" applyFont="1" applyFill="1" applyProtection="1">
      <protection locked="0"/>
    </xf>
    <xf numFmtId="0" fontId="25" fillId="0" borderId="0" xfId="0" applyFont="1" applyFill="1" applyBorder="1" applyAlignment="1" applyProtection="1">
      <alignment wrapText="1"/>
      <protection locked="0" hidden="1"/>
    </xf>
    <xf numFmtId="0" fontId="18" fillId="0" borderId="0" xfId="0" applyFont="1" applyFill="1" applyBorder="1" applyAlignment="1" applyProtection="1">
      <alignment horizontal="left" wrapText="1"/>
      <protection locked="0" hidden="1"/>
    </xf>
    <xf numFmtId="0" fontId="25" fillId="0" borderId="0" xfId="0" applyFont="1" applyFill="1" applyBorder="1" applyAlignment="1" applyProtection="1">
      <protection locked="0" hidden="1"/>
    </xf>
    <xf numFmtId="0" fontId="25" fillId="0" borderId="0" xfId="0" applyFont="1" applyFill="1" applyBorder="1" applyAlignment="1" applyProtection="1">
      <alignment horizontal="left"/>
      <protection locked="0" hidden="1"/>
    </xf>
    <xf numFmtId="0" fontId="25" fillId="0" borderId="0" xfId="0" applyFont="1" applyFill="1" applyBorder="1" applyAlignment="1" applyProtection="1">
      <alignment horizontal="center"/>
      <protection locked="0" hidden="1"/>
    </xf>
    <xf numFmtId="0" fontId="25" fillId="0" borderId="0" xfId="0" applyFont="1" applyFill="1" applyBorder="1" applyAlignment="1" applyProtection="1">
      <alignment horizontal="center" wrapText="1"/>
      <protection locked="0" hidden="1"/>
    </xf>
    <xf numFmtId="0" fontId="25" fillId="0" borderId="0" xfId="0" applyFont="1" applyFill="1" applyBorder="1" applyAlignment="1" applyProtection="1">
      <alignment horizontal="left" wrapText="1"/>
      <protection locked="0" hidden="1"/>
    </xf>
    <xf numFmtId="0" fontId="24" fillId="0" borderId="0" xfId="0" applyFont="1" applyFill="1" applyBorder="1" applyAlignment="1" applyProtection="1">
      <alignment horizontal="left" wrapText="1"/>
      <protection locked="0" hidden="1"/>
    </xf>
    <xf numFmtId="0" fontId="24" fillId="0" borderId="0" xfId="0" applyFont="1" applyFill="1" applyBorder="1" applyAlignment="1" applyProtection="1">
      <alignment horizontal="right"/>
      <protection locked="0" hidden="1"/>
    </xf>
    <xf numFmtId="0" fontId="24" fillId="0" borderId="0" xfId="0" applyFont="1" applyFill="1" applyBorder="1" applyAlignment="1" applyProtection="1">
      <alignment horizontal="left"/>
      <protection locked="0" hidden="1"/>
    </xf>
    <xf numFmtId="0" fontId="17" fillId="0" borderId="0" xfId="0" applyFont="1" applyFill="1"/>
    <xf numFmtId="0" fontId="17" fillId="0" borderId="0" xfId="0" applyFont="1" applyFill="1" applyAlignment="1">
      <alignment wrapText="1"/>
    </xf>
    <xf numFmtId="0" fontId="0" fillId="0" borderId="0" xfId="0" applyFill="1" applyAlignment="1">
      <alignment wrapText="1"/>
    </xf>
    <xf numFmtId="9" fontId="24" fillId="25" borderId="23" xfId="46" applyFont="1" applyFill="1" applyBorder="1" applyAlignment="1" applyProtection="1">
      <alignment wrapText="1"/>
    </xf>
    <xf numFmtId="0" fontId="24" fillId="0" borderId="0" xfId="0" applyFont="1" applyFill="1" applyBorder="1" applyAlignment="1" applyProtection="1">
      <alignment horizontal="left" wrapText="1"/>
    </xf>
    <xf numFmtId="0" fontId="1" fillId="0" borderId="0" xfId="0" applyFont="1"/>
    <xf numFmtId="0" fontId="1" fillId="0" borderId="0" xfId="0" applyFont="1" applyAlignment="1">
      <alignment wrapText="1"/>
    </xf>
    <xf numFmtId="0" fontId="38" fillId="26" borderId="0" xfId="41" applyFont="1" applyFill="1" applyAlignment="1" applyProtection="1">
      <alignment wrapText="1"/>
    </xf>
    <xf numFmtId="0" fontId="38" fillId="26" borderId="0" xfId="41" applyFont="1" applyFill="1" applyAlignment="1" applyProtection="1">
      <alignment horizontal="left" wrapText="1"/>
    </xf>
    <xf numFmtId="0" fontId="24" fillId="0" borderId="47" xfId="0" applyFont="1" applyFill="1" applyBorder="1" applyProtection="1"/>
    <xf numFmtId="0" fontId="24" fillId="0" borderId="0" xfId="0" applyFont="1" applyFill="1" applyBorder="1" applyProtection="1"/>
    <xf numFmtId="165" fontId="24" fillId="0" borderId="0" xfId="0" applyNumberFormat="1" applyFont="1" applyFill="1" applyBorder="1" applyProtection="1"/>
    <xf numFmtId="0" fontId="25" fillId="0" borderId="32" xfId="0" applyFont="1" applyFill="1" applyBorder="1" applyAlignment="1" applyProtection="1">
      <alignment horizontal="center" wrapText="1"/>
      <protection hidden="1"/>
    </xf>
    <xf numFmtId="0" fontId="25" fillId="0" borderId="12" xfId="0" applyFont="1" applyFill="1" applyBorder="1" applyAlignment="1" applyProtection="1">
      <alignment horizontal="center" wrapText="1"/>
      <protection hidden="1"/>
    </xf>
    <xf numFmtId="0" fontId="25" fillId="0" borderId="28" xfId="0" applyFont="1" applyFill="1" applyBorder="1" applyAlignment="1" applyProtection="1">
      <alignment horizontal="center" wrapText="1"/>
      <protection hidden="1"/>
    </xf>
    <xf numFmtId="0" fontId="18" fillId="24" borderId="23" xfId="39" applyFont="1" applyFill="1" applyBorder="1" applyAlignment="1" applyProtection="1">
      <alignment horizontal="left" wrapText="1"/>
      <protection locked="0"/>
    </xf>
    <xf numFmtId="0" fontId="24" fillId="0" borderId="18" xfId="0" applyFont="1" applyFill="1" applyBorder="1" applyAlignment="1" applyProtection="1">
      <alignment wrapText="1"/>
      <protection hidden="1"/>
    </xf>
    <xf numFmtId="0" fontId="24" fillId="30" borderId="17" xfId="0" applyFont="1" applyFill="1" applyBorder="1" applyAlignment="1" applyProtection="1">
      <alignment horizontal="right"/>
      <protection hidden="1"/>
    </xf>
    <xf numFmtId="0" fontId="24" fillId="0" borderId="0" xfId="0" applyFont="1" applyBorder="1" applyProtection="1">
      <protection locked="0"/>
    </xf>
    <xf numFmtId="2" fontId="1" fillId="0" borderId="0" xfId="0" applyNumberFormat="1" applyFont="1"/>
    <xf numFmtId="0" fontId="37" fillId="31" borderId="33" xfId="0" applyFont="1" applyFill="1" applyBorder="1"/>
    <xf numFmtId="0" fontId="0" fillId="31" borderId="0" xfId="0" applyFill="1"/>
    <xf numFmtId="0" fontId="17" fillId="31" borderId="0" xfId="0" applyFont="1" applyFill="1"/>
    <xf numFmtId="0" fontId="31" fillId="31" borderId="0" xfId="41" applyFont="1" applyFill="1" applyAlignment="1" applyProtection="1">
      <alignment wrapText="1"/>
    </xf>
    <xf numFmtId="0" fontId="31" fillId="31" borderId="0" xfId="0" applyFont="1" applyFill="1"/>
    <xf numFmtId="0" fontId="28" fillId="31" borderId="0" xfId="41" applyFont="1" applyFill="1" applyAlignment="1" applyProtection="1">
      <alignment wrapText="1"/>
    </xf>
    <xf numFmtId="2" fontId="0" fillId="31" borderId="0" xfId="0" applyNumberFormat="1" applyFill="1"/>
    <xf numFmtId="9" fontId="17" fillId="31" borderId="0" xfId="0" applyNumberFormat="1" applyFont="1" applyFill="1"/>
    <xf numFmtId="0" fontId="1" fillId="31" borderId="0" xfId="0" applyFont="1" applyFill="1" applyAlignment="1" applyProtection="1">
      <alignment wrapText="1"/>
      <protection locked="0"/>
    </xf>
    <xf numFmtId="0" fontId="17" fillId="31" borderId="0" xfId="0" applyFont="1" applyFill="1" applyProtection="1">
      <protection locked="0"/>
    </xf>
    <xf numFmtId="0" fontId="0" fillId="31" borderId="0" xfId="0" applyFill="1" applyAlignment="1" applyProtection="1">
      <alignment wrapText="1"/>
      <protection locked="0"/>
    </xf>
    <xf numFmtId="0" fontId="0" fillId="31" borderId="0" xfId="0" applyFill="1" applyAlignment="1">
      <alignment wrapText="1"/>
    </xf>
    <xf numFmtId="0" fontId="1" fillId="31" borderId="0" xfId="0" applyFont="1" applyFill="1" applyProtection="1">
      <protection locked="0"/>
    </xf>
    <xf numFmtId="0" fontId="1" fillId="31" borderId="0" xfId="0" applyFont="1" applyFill="1" applyAlignment="1">
      <alignment wrapText="1"/>
    </xf>
    <xf numFmtId="2" fontId="17" fillId="31" borderId="0" xfId="0" applyNumberFormat="1" applyFont="1" applyFill="1" applyProtection="1">
      <protection locked="0"/>
    </xf>
    <xf numFmtId="1" fontId="0" fillId="31" borderId="0" xfId="0" applyNumberFormat="1" applyFill="1" applyAlignment="1">
      <alignment horizontal="center" wrapText="1"/>
    </xf>
    <xf numFmtId="164" fontId="0" fillId="31" borderId="0" xfId="0" applyNumberFormat="1" applyFill="1"/>
    <xf numFmtId="0" fontId="19" fillId="31" borderId="0" xfId="0" applyFont="1" applyFill="1" applyAlignment="1">
      <alignment horizontal="center" vertical="center" wrapText="1"/>
    </xf>
    <xf numFmtId="165" fontId="0" fillId="31" borderId="0" xfId="0" applyNumberFormat="1" applyFill="1"/>
    <xf numFmtId="165" fontId="0" fillId="31" borderId="0" xfId="0" applyNumberFormat="1" applyFill="1" applyAlignment="1" applyProtection="1">
      <alignment wrapText="1"/>
      <protection locked="0"/>
    </xf>
    <xf numFmtId="0" fontId="0" fillId="31" borderId="0" xfId="0" applyFill="1" applyProtection="1">
      <protection locked="0"/>
    </xf>
    <xf numFmtId="0" fontId="1" fillId="31" borderId="0" xfId="0" applyFont="1" applyFill="1"/>
    <xf numFmtId="0" fontId="1" fillId="31" borderId="0" xfId="0" applyFont="1" applyFill="1" applyBorder="1"/>
    <xf numFmtId="0" fontId="17" fillId="31" borderId="0" xfId="0" applyFont="1" applyFill="1" applyAlignment="1" applyProtection="1">
      <alignment wrapText="1"/>
      <protection locked="0"/>
    </xf>
    <xf numFmtId="1" fontId="42" fillId="31" borderId="0" xfId="0" applyNumberFormat="1" applyFont="1" applyFill="1" applyAlignment="1">
      <alignment horizontal="center" wrapText="1"/>
    </xf>
    <xf numFmtId="164" fontId="42" fillId="31" borderId="0" xfId="0" applyNumberFormat="1" applyFont="1" applyFill="1"/>
    <xf numFmtId="0" fontId="42" fillId="31" borderId="0" xfId="0" applyFont="1" applyFill="1" applyAlignment="1">
      <alignment horizontal="center" vertical="center" wrapText="1"/>
    </xf>
    <xf numFmtId="165" fontId="42" fillId="31" borderId="0" xfId="0" applyNumberFormat="1" applyFont="1" applyFill="1"/>
    <xf numFmtId="2" fontId="42" fillId="31" borderId="0" xfId="0" applyNumberFormat="1" applyFont="1" applyFill="1"/>
    <xf numFmtId="165" fontId="42" fillId="31" borderId="0" xfId="0" applyNumberFormat="1" applyFont="1" applyFill="1" applyAlignment="1" applyProtection="1">
      <alignment wrapText="1"/>
      <protection locked="0"/>
    </xf>
    <xf numFmtId="0" fontId="24" fillId="31" borderId="0" xfId="41" applyFont="1" applyFill="1" applyProtection="1"/>
    <xf numFmtId="2" fontId="24" fillId="31" borderId="0" xfId="41" quotePrefix="1" applyNumberFormat="1" applyFont="1" applyFill="1" applyProtection="1"/>
    <xf numFmtId="165" fontId="17" fillId="31" borderId="0" xfId="0" applyNumberFormat="1" applyFont="1" applyFill="1" applyProtection="1">
      <protection locked="0"/>
    </xf>
    <xf numFmtId="0" fontId="0" fillId="31" borderId="0" xfId="0" applyFont="1" applyFill="1" applyAlignment="1">
      <alignment wrapText="1"/>
    </xf>
    <xf numFmtId="166" fontId="31" fillId="31" borderId="10" xfId="0" applyNumberFormat="1" applyFont="1" applyFill="1" applyBorder="1"/>
    <xf numFmtId="0" fontId="0" fillId="31" borderId="10" xfId="0" applyFill="1" applyBorder="1"/>
    <xf numFmtId="166" fontId="1" fillId="31" borderId="10" xfId="0" applyNumberFormat="1" applyFont="1" applyFill="1" applyBorder="1"/>
    <xf numFmtId="165" fontId="0" fillId="31" borderId="10" xfId="0" applyNumberFormat="1" applyFill="1" applyBorder="1"/>
    <xf numFmtId="0" fontId="0" fillId="31" borderId="10" xfId="0" applyFill="1" applyBorder="1" applyAlignment="1" applyProtection="1">
      <alignment wrapText="1"/>
    </xf>
    <xf numFmtId="0" fontId="24" fillId="0" borderId="0" xfId="0" applyFont="1" applyAlignment="1" applyProtection="1">
      <alignment horizontal="left" wrapText="1"/>
    </xf>
    <xf numFmtId="0" fontId="24" fillId="0" borderId="0" xfId="0" applyFont="1" applyBorder="1" applyAlignment="1" applyProtection="1">
      <alignment horizontal="left" wrapText="1"/>
    </xf>
    <xf numFmtId="0" fontId="39" fillId="0" borderId="0" xfId="0" applyFont="1" applyAlignment="1" applyProtection="1">
      <alignment horizontal="left" wrapText="1"/>
    </xf>
    <xf numFmtId="2" fontId="34" fillId="26" borderId="38" xfId="0" applyNumberFormat="1" applyFont="1" applyFill="1" applyBorder="1" applyAlignment="1" applyProtection="1">
      <alignment horizontal="left" vertical="center" wrapText="1"/>
    </xf>
    <xf numFmtId="0" fontId="24" fillId="0" borderId="0" xfId="0" applyFont="1" applyFill="1" applyAlignment="1" applyProtection="1">
      <alignment horizontal="left" wrapText="1"/>
    </xf>
    <xf numFmtId="0" fontId="27" fillId="0" borderId="42" xfId="0" applyFont="1" applyFill="1" applyBorder="1" applyAlignment="1" applyProtection="1">
      <alignment horizontal="center" wrapText="1"/>
      <protection hidden="1"/>
    </xf>
    <xf numFmtId="0" fontId="27" fillId="0" borderId="32" xfId="0" applyFont="1" applyFill="1" applyBorder="1" applyAlignment="1" applyProtection="1">
      <alignment horizontal="center" wrapText="1"/>
      <protection hidden="1"/>
    </xf>
    <xf numFmtId="49" fontId="30" fillId="26" borderId="0" xfId="43" applyNumberFormat="1" applyFont="1" applyFill="1" applyBorder="1" applyAlignment="1" applyProtection="1">
      <alignment horizontal="left" vertical="center" wrapText="1"/>
    </xf>
    <xf numFmtId="2" fontId="34" fillId="26" borderId="0" xfId="0" applyNumberFormat="1" applyFont="1" applyFill="1" applyBorder="1" applyAlignment="1" applyProtection="1">
      <alignment horizontal="left" vertical="center" wrapText="1"/>
    </xf>
    <xf numFmtId="0" fontId="24" fillId="0" borderId="43" xfId="0" applyFont="1" applyBorder="1" applyAlignment="1" applyProtection="1">
      <alignment horizontal="left" wrapText="1"/>
    </xf>
    <xf numFmtId="0" fontId="24" fillId="0" borderId="43" xfId="0" applyFont="1" applyFill="1" applyBorder="1" applyAlignment="1" applyProtection="1">
      <alignment horizontal="left" wrapText="1"/>
    </xf>
    <xf numFmtId="0" fontId="27" fillId="0" borderId="44" xfId="0" applyFont="1" applyBorder="1" applyAlignment="1" applyProtection="1">
      <alignment horizontal="center" wrapText="1"/>
    </xf>
    <xf numFmtId="0" fontId="27" fillId="0" borderId="45" xfId="0" applyFont="1" applyBorder="1" applyAlignment="1" applyProtection="1">
      <alignment horizontal="center" wrapText="1"/>
    </xf>
    <xf numFmtId="0" fontId="27" fillId="0" borderId="46" xfId="0" applyFont="1" applyBorder="1" applyAlignment="1" applyProtection="1">
      <alignment horizontal="center" wrapText="1"/>
    </xf>
    <xf numFmtId="0" fontId="24" fillId="0" borderId="47" xfId="0" applyFont="1" applyFill="1" applyBorder="1" applyAlignment="1" applyProtection="1">
      <alignment horizontal="left" wrapText="1"/>
    </xf>
    <xf numFmtId="0" fontId="24" fillId="0" borderId="0" xfId="0" applyFont="1" applyFill="1" applyBorder="1" applyAlignment="1" applyProtection="1">
      <alignment horizontal="left" wrapText="1"/>
    </xf>
    <xf numFmtId="0" fontId="0" fillId="31" borderId="0" xfId="0" applyFill="1" applyAlignment="1">
      <alignment horizontal="center" wrapText="1"/>
    </xf>
    <xf numFmtId="0" fontId="1" fillId="31" borderId="0" xfId="0" applyFont="1" applyFill="1" applyAlignment="1">
      <alignment horizontal="center"/>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 2 2" xfId="38" xr:uid="{00000000-0005-0000-0000-000026000000}"/>
    <cellStyle name="Normal 2_Appendix C" xfId="39" xr:uid="{00000000-0005-0000-0000-000027000000}"/>
    <cellStyle name="Normal 3" xfId="40" xr:uid="{00000000-0005-0000-0000-000028000000}"/>
    <cellStyle name="Normal_Appendix C" xfId="41" xr:uid="{00000000-0005-0000-0000-000029000000}"/>
    <cellStyle name="Normal_Input Sheet" xfId="42" xr:uid="{00000000-0005-0000-0000-00002A000000}"/>
    <cellStyle name="Normal_Sheet1" xfId="43" xr:uid="{00000000-0005-0000-0000-00002B000000}"/>
    <cellStyle name="Note" xfId="44" builtinId="10" customBuiltin="1"/>
    <cellStyle name="Output" xfId="45" builtinId="21" customBuiltin="1"/>
    <cellStyle name="Percent" xfId="46" builtinId="5"/>
    <cellStyle name="Title" xfId="47" builtinId="15" customBuiltin="1"/>
    <cellStyle name="Total" xfId="48" builtinId="25" customBuiltin="1"/>
    <cellStyle name="Warning Text" xfId="49" builtinId="11" customBuiltin="1"/>
  </cellStyles>
  <dxfs count="28">
    <dxf>
      <fill>
        <patternFill>
          <bgColor rgb="FF333333"/>
        </patternFill>
      </fill>
    </dxf>
    <dxf>
      <fill>
        <patternFill>
          <bgColor indexed="63"/>
        </patternFill>
      </fill>
    </dxf>
    <dxf>
      <font>
        <color auto="1"/>
      </font>
      <fill>
        <patternFill>
          <bgColor rgb="FF333333"/>
        </patternFill>
      </fill>
    </dxf>
    <dxf>
      <font>
        <color theme="0"/>
      </font>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rgb="FF33333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patternType="solid">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
      <fill>
        <patternFill>
          <bgColor indexed="63"/>
        </patternFill>
      </fill>
    </dxf>
  </dxfs>
  <tableStyles count="0" defaultTableStyle="TableStyleMedium2" defaultPivotStyle="PivotStyleLight16"/>
  <colors>
    <mruColors>
      <color rgb="FF3333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ly"/>
            <c:order val="2"/>
            <c:dispRSqr val="0"/>
            <c:dispEq val="1"/>
            <c:trendlineLbl>
              <c:numFmt formatCode="General"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trendlineLbl>
          </c:trendline>
          <c:xVal>
            <c:numRef>
              <c:f>'Heating Calc'!$AF$5:$AF$11</c:f>
              <c:numCache>
                <c:formatCode>General</c:formatCode>
                <c:ptCount val="7"/>
                <c:pt idx="0">
                  <c:v>0.2</c:v>
                </c:pt>
                <c:pt idx="1">
                  <c:v>0.25</c:v>
                </c:pt>
                <c:pt idx="2">
                  <c:v>0.3</c:v>
                </c:pt>
                <c:pt idx="3">
                  <c:v>0.35</c:v>
                </c:pt>
                <c:pt idx="4">
                  <c:v>0.4</c:v>
                </c:pt>
                <c:pt idx="5">
                  <c:v>0.45</c:v>
                </c:pt>
                <c:pt idx="6">
                  <c:v>0.5</c:v>
                </c:pt>
              </c:numCache>
            </c:numRef>
          </c:xVal>
          <c:yVal>
            <c:numRef>
              <c:f>'Heating Calc'!$AG$5:$AG$11</c:f>
              <c:numCache>
                <c:formatCode>General</c:formatCode>
                <c:ptCount val="7"/>
                <c:pt idx="0">
                  <c:v>0.4</c:v>
                </c:pt>
                <c:pt idx="1">
                  <c:v>0.28000000000000003</c:v>
                </c:pt>
                <c:pt idx="2">
                  <c:v>0.19</c:v>
                </c:pt>
                <c:pt idx="3">
                  <c:v>0.12</c:v>
                </c:pt>
                <c:pt idx="4">
                  <c:v>0.06</c:v>
                </c:pt>
                <c:pt idx="5">
                  <c:v>0.03</c:v>
                </c:pt>
                <c:pt idx="6">
                  <c:v>0.01</c:v>
                </c:pt>
              </c:numCache>
            </c:numRef>
          </c:yVal>
          <c:smooth val="0"/>
          <c:extLst>
            <c:ext xmlns:c16="http://schemas.microsoft.com/office/drawing/2014/chart" uri="{C3380CC4-5D6E-409C-BE32-E72D297353CC}">
              <c16:uniqueId val="{00000001-EF0D-4B2C-813A-8A7391E89BA6}"/>
            </c:ext>
          </c:extLst>
        </c:ser>
        <c:dLbls>
          <c:showLegendKey val="0"/>
          <c:showVal val="0"/>
          <c:showCatName val="0"/>
          <c:showSerName val="0"/>
          <c:showPercent val="0"/>
          <c:showBubbleSize val="0"/>
        </c:dLbls>
        <c:axId val="221804976"/>
        <c:axId val="221805360"/>
      </c:scatterChart>
      <c:valAx>
        <c:axId val="2218049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1805360"/>
        <c:crosses val="autoZero"/>
        <c:crossBetween val="midCat"/>
      </c:valAx>
      <c:valAx>
        <c:axId val="22180536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1804976"/>
        <c:crosses val="autoZero"/>
        <c:crossBetween val="midCat"/>
      </c:valAx>
    </c:plotArea>
    <c:legend>
      <c:legendPos val="r"/>
      <c:layout>
        <c:manualLayout>
          <c:xMode val="edge"/>
          <c:yMode val="edge"/>
          <c:x val="0.7364024258817925"/>
          <c:y val="0.41463414634146339"/>
          <c:w val="0.24267807216559084"/>
          <c:h val="0.16724738675958217"/>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ly"/>
            <c:order val="2"/>
            <c:dispRSqr val="0"/>
            <c:dispEq val="1"/>
            <c:trendlineLbl>
              <c:layout>
                <c:manualLayout>
                  <c:x val="0.24476377952755909"/>
                  <c:y val="-0.67010790317877134"/>
                </c:manualLayout>
              </c:layout>
              <c:numFmt formatCode="General"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trendlineLbl>
          </c:trendline>
          <c:xVal>
            <c:numRef>
              <c:f>'Heating Calc'!$AF$5:$AF$15</c:f>
              <c:numCache>
                <c:formatCode>General</c:formatCode>
                <c:ptCount val="11"/>
                <c:pt idx="0">
                  <c:v>0.2</c:v>
                </c:pt>
                <c:pt idx="1">
                  <c:v>0.25</c:v>
                </c:pt>
                <c:pt idx="2">
                  <c:v>0.3</c:v>
                </c:pt>
                <c:pt idx="3">
                  <c:v>0.35</c:v>
                </c:pt>
                <c:pt idx="4">
                  <c:v>0.4</c:v>
                </c:pt>
                <c:pt idx="5">
                  <c:v>0.45</c:v>
                </c:pt>
                <c:pt idx="6">
                  <c:v>0.5</c:v>
                </c:pt>
                <c:pt idx="7">
                  <c:v>0.55000000000000004</c:v>
                </c:pt>
                <c:pt idx="8">
                  <c:v>0.6</c:v>
                </c:pt>
                <c:pt idx="9">
                  <c:v>0.65</c:v>
                </c:pt>
                <c:pt idx="10">
                  <c:v>0.7</c:v>
                </c:pt>
              </c:numCache>
            </c:numRef>
          </c:xVal>
          <c:yVal>
            <c:numRef>
              <c:f>'Heating Calc'!$AH$5:$AH$15</c:f>
              <c:numCache>
                <c:formatCode>General</c:formatCode>
                <c:ptCount val="11"/>
                <c:pt idx="0">
                  <c:v>0.53</c:v>
                </c:pt>
                <c:pt idx="1">
                  <c:v>0.43</c:v>
                </c:pt>
                <c:pt idx="2">
                  <c:v>0.34</c:v>
                </c:pt>
                <c:pt idx="3">
                  <c:v>0.27</c:v>
                </c:pt>
                <c:pt idx="4">
                  <c:v>0.2</c:v>
                </c:pt>
                <c:pt idx="5">
                  <c:v>0.14000000000000001</c:v>
                </c:pt>
                <c:pt idx="6">
                  <c:v>0.09</c:v>
                </c:pt>
                <c:pt idx="7">
                  <c:v>0.06</c:v>
                </c:pt>
                <c:pt idx="8">
                  <c:v>0.03</c:v>
                </c:pt>
                <c:pt idx="9">
                  <c:v>0.02</c:v>
                </c:pt>
                <c:pt idx="10">
                  <c:v>0.01</c:v>
                </c:pt>
              </c:numCache>
            </c:numRef>
          </c:yVal>
          <c:smooth val="0"/>
          <c:extLst>
            <c:ext xmlns:c16="http://schemas.microsoft.com/office/drawing/2014/chart" uri="{C3380CC4-5D6E-409C-BE32-E72D297353CC}">
              <c16:uniqueId val="{00000001-EF8B-42A1-A025-0686BE53A392}"/>
            </c:ext>
          </c:extLst>
        </c:ser>
        <c:dLbls>
          <c:showLegendKey val="0"/>
          <c:showVal val="0"/>
          <c:showCatName val="0"/>
          <c:showSerName val="0"/>
          <c:showPercent val="0"/>
          <c:showBubbleSize val="0"/>
        </c:dLbls>
        <c:axId val="221839872"/>
        <c:axId val="221840256"/>
      </c:scatterChart>
      <c:valAx>
        <c:axId val="2218398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1840256"/>
        <c:crosses val="autoZero"/>
        <c:crossBetween val="midCat"/>
      </c:valAx>
      <c:valAx>
        <c:axId val="221840256"/>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1839872"/>
        <c:crosses val="autoZero"/>
        <c:crossBetween val="midCat"/>
      </c:valAx>
    </c:plotArea>
    <c:legend>
      <c:legendPos val="r"/>
      <c:layout>
        <c:manualLayout>
          <c:xMode val="edge"/>
          <c:yMode val="edge"/>
          <c:x val="0.7364024258817925"/>
          <c:y val="0.4140365064299153"/>
          <c:w val="0.24267807216559084"/>
          <c:h val="0.16842162973420277"/>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poly"/>
            <c:order val="2"/>
            <c:dispRSqr val="0"/>
            <c:dispEq val="1"/>
            <c:trendlineLbl>
              <c:layout>
                <c:manualLayout>
                  <c:x val="0.30920997375328158"/>
                  <c:y val="-0.68399679206765818"/>
                </c:manualLayout>
              </c:layout>
              <c:numFmt formatCode="General"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trendlineLbl>
          </c:trendline>
          <c:xVal>
            <c:numRef>
              <c:f>'Heating Calc'!$AF$5:$AF$21</c:f>
              <c:numCache>
                <c:formatCode>General</c:formatCode>
                <c:ptCount val="17"/>
                <c:pt idx="0">
                  <c:v>0.2</c:v>
                </c:pt>
                <c:pt idx="1">
                  <c:v>0.25</c:v>
                </c:pt>
                <c:pt idx="2">
                  <c:v>0.3</c:v>
                </c:pt>
                <c:pt idx="3">
                  <c:v>0.35</c:v>
                </c:pt>
                <c:pt idx="4">
                  <c:v>0.4</c:v>
                </c:pt>
                <c:pt idx="5">
                  <c:v>0.45</c:v>
                </c:pt>
                <c:pt idx="6">
                  <c:v>0.5</c:v>
                </c:pt>
                <c:pt idx="7">
                  <c:v>0.55000000000000004</c:v>
                </c:pt>
                <c:pt idx="8">
                  <c:v>0.6</c:v>
                </c:pt>
                <c:pt idx="9">
                  <c:v>0.65</c:v>
                </c:pt>
                <c:pt idx="10">
                  <c:v>0.7</c:v>
                </c:pt>
                <c:pt idx="11">
                  <c:v>0.75</c:v>
                </c:pt>
                <c:pt idx="12">
                  <c:v>0.8</c:v>
                </c:pt>
                <c:pt idx="13">
                  <c:v>0.85</c:v>
                </c:pt>
                <c:pt idx="14">
                  <c:v>0.9</c:v>
                </c:pt>
                <c:pt idx="15">
                  <c:v>0.95</c:v>
                </c:pt>
                <c:pt idx="16">
                  <c:v>1</c:v>
                </c:pt>
              </c:numCache>
            </c:numRef>
          </c:xVal>
          <c:yVal>
            <c:numRef>
              <c:f>'Heating Calc'!$AI$5:$AI$21</c:f>
              <c:numCache>
                <c:formatCode>General</c:formatCode>
                <c:ptCount val="17"/>
                <c:pt idx="0">
                  <c:v>0.64</c:v>
                </c:pt>
                <c:pt idx="1">
                  <c:v>0.56999999999999995</c:v>
                </c:pt>
                <c:pt idx="2">
                  <c:v>0.49</c:v>
                </c:pt>
                <c:pt idx="3">
                  <c:v>0.42</c:v>
                </c:pt>
                <c:pt idx="4">
                  <c:v>0.35</c:v>
                </c:pt>
                <c:pt idx="5">
                  <c:v>0.28999999999999998</c:v>
                </c:pt>
                <c:pt idx="6">
                  <c:v>0.24</c:v>
                </c:pt>
                <c:pt idx="7">
                  <c:v>0.19</c:v>
                </c:pt>
                <c:pt idx="8">
                  <c:v>0.15</c:v>
                </c:pt>
                <c:pt idx="9">
                  <c:v>0.11</c:v>
                </c:pt>
                <c:pt idx="10">
                  <c:v>0.09</c:v>
                </c:pt>
                <c:pt idx="11">
                  <c:v>0.05</c:v>
                </c:pt>
                <c:pt idx="12">
                  <c:v>0.05</c:v>
                </c:pt>
                <c:pt idx="13">
                  <c:v>0.03</c:v>
                </c:pt>
                <c:pt idx="14">
                  <c:v>0.02</c:v>
                </c:pt>
                <c:pt idx="15">
                  <c:v>0.01</c:v>
                </c:pt>
                <c:pt idx="16">
                  <c:v>0.01</c:v>
                </c:pt>
              </c:numCache>
            </c:numRef>
          </c:yVal>
          <c:smooth val="0"/>
          <c:extLst>
            <c:ext xmlns:c16="http://schemas.microsoft.com/office/drawing/2014/chart" uri="{C3380CC4-5D6E-409C-BE32-E72D297353CC}">
              <c16:uniqueId val="{00000001-A3D9-4F9E-9FD0-E6AD95FDE2FD}"/>
            </c:ext>
          </c:extLst>
        </c:ser>
        <c:dLbls>
          <c:showLegendKey val="0"/>
          <c:showVal val="0"/>
          <c:showCatName val="0"/>
          <c:showSerName val="0"/>
          <c:showPercent val="0"/>
          <c:showBubbleSize val="0"/>
        </c:dLbls>
        <c:axId val="222116936"/>
        <c:axId val="222387448"/>
      </c:scatterChart>
      <c:valAx>
        <c:axId val="2221169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2387448"/>
        <c:crosses val="autoZero"/>
        <c:crossBetween val="midCat"/>
      </c:valAx>
      <c:valAx>
        <c:axId val="22238744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2116936"/>
        <c:crosses val="autoZero"/>
        <c:crossBetween val="midCat"/>
      </c:valAx>
    </c:plotArea>
    <c:legend>
      <c:legendPos val="r"/>
      <c:layout>
        <c:manualLayout>
          <c:xMode val="edge"/>
          <c:yMode val="edge"/>
          <c:x val="0.7364024258817925"/>
          <c:y val="0.41319584552627725"/>
          <c:w val="0.24267807216559084"/>
          <c:h val="0.1666672318089187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86552</xdr:colOff>
      <xdr:row>0</xdr:row>
      <xdr:rowOff>20707</xdr:rowOff>
    </xdr:from>
    <xdr:to>
      <xdr:col>1</xdr:col>
      <xdr:colOff>997165</xdr:colOff>
      <xdr:row>1</xdr:row>
      <xdr:rowOff>76739</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0372724" y="419100"/>
          <a:ext cx="1019175"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IE" sz="1100" b="1" i="0" u="sng" strike="noStrike" baseline="0">
              <a:solidFill>
                <a:srgbClr val="000080"/>
              </a:solidFill>
              <a:latin typeface="Calibri"/>
            </a:rPr>
            <a:t>Colour Key</a:t>
          </a:r>
        </a:p>
      </xdr:txBody>
    </xdr:sp>
    <xdr:clientData/>
  </xdr:twoCellAnchor>
  <xdr:twoCellAnchor>
    <xdr:from>
      <xdr:col>3</xdr:col>
      <xdr:colOff>695325</xdr:colOff>
      <xdr:row>0</xdr:row>
      <xdr:rowOff>66675</xdr:rowOff>
    </xdr:from>
    <xdr:to>
      <xdr:col>5</xdr:col>
      <xdr:colOff>1247775</xdr:colOff>
      <xdr:row>1</xdr:row>
      <xdr:rowOff>285750</xdr:rowOff>
    </xdr:to>
    <xdr:pic>
      <xdr:nvPicPr>
        <xdr:cNvPr id="1026" name="Picture 5" descr="SEAI - RGB-(72dpi)">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24950" y="66675"/>
          <a:ext cx="2714625" cy="647700"/>
        </a:xfrm>
        <a:prstGeom prst="rect">
          <a:avLst/>
        </a:prstGeom>
        <a:noFill/>
        <a:ln w="9525">
          <a:noFill/>
          <a:miter lim="800000"/>
          <a:headEnd/>
          <a:tailEnd/>
        </a:ln>
      </xdr:spPr>
    </xdr:pic>
    <xdr:clientData/>
  </xdr:twoCellAnchor>
  <xdr:twoCellAnchor>
    <xdr:from>
      <xdr:col>1</xdr:col>
      <xdr:colOff>933450</xdr:colOff>
      <xdr:row>0</xdr:row>
      <xdr:rowOff>57150</xdr:rowOff>
    </xdr:from>
    <xdr:to>
      <xdr:col>3</xdr:col>
      <xdr:colOff>133350</xdr:colOff>
      <xdr:row>2</xdr:row>
      <xdr:rowOff>295275</xdr:rowOff>
    </xdr:to>
    <xdr:grpSp>
      <xdr:nvGrpSpPr>
        <xdr:cNvPr id="1027" name="Group 1694">
          <a:extLst>
            <a:ext uri="{FF2B5EF4-FFF2-40B4-BE49-F238E27FC236}">
              <a16:creationId xmlns:a16="http://schemas.microsoft.com/office/drawing/2014/main" id="{00000000-0008-0000-0000-000003040000}"/>
            </a:ext>
          </a:extLst>
        </xdr:cNvPr>
        <xdr:cNvGrpSpPr>
          <a:grpSpLocks/>
        </xdr:cNvGrpSpPr>
      </xdr:nvGrpSpPr>
      <xdr:grpSpPr bwMode="auto">
        <a:xfrm>
          <a:off x="5314950" y="57150"/>
          <a:ext cx="3253317" cy="1349375"/>
          <a:chOff x="505" y="5"/>
          <a:chExt cx="301" cy="159"/>
        </a:xfrm>
      </xdr:grpSpPr>
      <xdr:sp macro="" textlink="">
        <xdr:nvSpPr>
          <xdr:cNvPr id="1028" name="TextBox 18">
            <a:extLst>
              <a:ext uri="{FF2B5EF4-FFF2-40B4-BE49-F238E27FC236}">
                <a16:creationId xmlns:a16="http://schemas.microsoft.com/office/drawing/2014/main" id="{00000000-0008-0000-0000-000004040000}"/>
              </a:ext>
            </a:extLst>
          </xdr:cNvPr>
          <xdr:cNvSpPr txBox="1">
            <a:spLocks noChangeArrowheads="1"/>
          </xdr:cNvSpPr>
        </xdr:nvSpPr>
        <xdr:spPr bwMode="auto">
          <a:xfrm>
            <a:off x="505" y="5"/>
            <a:ext cx="31" cy="31"/>
          </a:xfrm>
          <a:prstGeom prst="rect">
            <a:avLst/>
          </a:prstGeom>
          <a:solidFill>
            <a:srgbClr val="FFFF99"/>
          </a:solidFill>
          <a:ln w="9525">
            <a:solidFill>
              <a:srgbClr val="1F497D"/>
            </a:solidFill>
            <a:miter lim="800000"/>
            <a:headEnd/>
            <a:tailEnd/>
          </a:ln>
        </xdr:spPr>
      </xdr:sp>
      <xdr:sp macro="" textlink="">
        <xdr:nvSpPr>
          <xdr:cNvPr id="1791" name="TextBox 21">
            <a:extLst>
              <a:ext uri="{FF2B5EF4-FFF2-40B4-BE49-F238E27FC236}">
                <a16:creationId xmlns:a16="http://schemas.microsoft.com/office/drawing/2014/main" id="{00000000-0008-0000-0000-0000FF060000}"/>
              </a:ext>
            </a:extLst>
          </xdr:cNvPr>
          <xdr:cNvSpPr txBox="1">
            <a:spLocks noChangeArrowheads="1"/>
          </xdr:cNvSpPr>
        </xdr:nvSpPr>
        <xdr:spPr bwMode="auto">
          <a:xfrm>
            <a:off x="548" y="5"/>
            <a:ext cx="258" cy="38"/>
          </a:xfrm>
          <a:prstGeom prst="rect">
            <a:avLst/>
          </a:prstGeom>
          <a:solidFill>
            <a:srgbClr val="FFFFFF"/>
          </a:solidFill>
          <a:ln>
            <a:noFill/>
          </a:ln>
        </xdr:spPr>
        <xdr:txBody>
          <a:bodyPr vertOverflow="clip" wrap="square" lIns="27432" tIns="27432" rIns="0" bIns="0" anchor="t" upright="1"/>
          <a:lstStyle/>
          <a:p>
            <a:pPr algn="l" rtl="0">
              <a:defRPr sz="1000"/>
            </a:pPr>
            <a:r>
              <a:rPr lang="en-IE" sz="1100" b="1" i="0" u="none" strike="noStrike" baseline="0">
                <a:solidFill>
                  <a:srgbClr val="000080"/>
                </a:solidFill>
                <a:latin typeface="Calibri"/>
              </a:rPr>
              <a:t>User Input, only editable cells</a:t>
            </a:r>
          </a:p>
        </xdr:txBody>
      </xdr:sp>
      <xdr:sp macro="" textlink="">
        <xdr:nvSpPr>
          <xdr:cNvPr id="1792" name="TextBox 23">
            <a:extLst>
              <a:ext uri="{FF2B5EF4-FFF2-40B4-BE49-F238E27FC236}">
                <a16:creationId xmlns:a16="http://schemas.microsoft.com/office/drawing/2014/main" id="{00000000-0008-0000-0000-000000070000}"/>
              </a:ext>
            </a:extLst>
          </xdr:cNvPr>
          <xdr:cNvSpPr txBox="1">
            <a:spLocks noChangeArrowheads="1"/>
          </xdr:cNvSpPr>
        </xdr:nvSpPr>
        <xdr:spPr bwMode="auto">
          <a:xfrm>
            <a:off x="548" y="88"/>
            <a:ext cx="222" cy="36"/>
          </a:xfrm>
          <a:prstGeom prst="rect">
            <a:avLst/>
          </a:prstGeom>
          <a:solidFill>
            <a:srgbClr val="FFFFFF"/>
          </a:solidFill>
          <a:ln>
            <a:noFill/>
          </a:ln>
        </xdr:spPr>
        <xdr:txBody>
          <a:bodyPr vertOverflow="clip" wrap="square" lIns="27432" tIns="22860" rIns="0" bIns="0" anchor="t" upright="1"/>
          <a:lstStyle/>
          <a:p>
            <a:pPr algn="l" rtl="0">
              <a:defRPr sz="1000"/>
            </a:pPr>
            <a:r>
              <a:rPr lang="en-IE" sz="1100" b="1" i="0" u="none" strike="noStrike" baseline="0">
                <a:solidFill>
                  <a:srgbClr val="000080"/>
                </a:solidFill>
                <a:latin typeface="Calibri"/>
              </a:rPr>
              <a:t>Calculated Value</a:t>
            </a:r>
          </a:p>
        </xdr:txBody>
      </xdr:sp>
      <xdr:sp macro="" textlink="">
        <xdr:nvSpPr>
          <xdr:cNvPr id="1031" name="TextBox 20">
            <a:extLst>
              <a:ext uri="{FF2B5EF4-FFF2-40B4-BE49-F238E27FC236}">
                <a16:creationId xmlns:a16="http://schemas.microsoft.com/office/drawing/2014/main" id="{00000000-0008-0000-0000-000007040000}"/>
              </a:ext>
            </a:extLst>
          </xdr:cNvPr>
          <xdr:cNvSpPr txBox="1">
            <a:spLocks noChangeArrowheads="1"/>
          </xdr:cNvSpPr>
        </xdr:nvSpPr>
        <xdr:spPr bwMode="auto">
          <a:xfrm>
            <a:off x="506" y="86"/>
            <a:ext cx="29" cy="28"/>
          </a:xfrm>
          <a:prstGeom prst="rect">
            <a:avLst/>
          </a:prstGeom>
          <a:solidFill>
            <a:srgbClr val="CCFFFF"/>
          </a:solidFill>
          <a:ln w="9525">
            <a:solidFill>
              <a:srgbClr val="1F497D"/>
            </a:solidFill>
            <a:miter lim="800000"/>
            <a:headEnd/>
            <a:tailEnd/>
          </a:ln>
        </xdr:spPr>
      </xdr:sp>
      <xdr:sp macro="" textlink="">
        <xdr:nvSpPr>
          <xdr:cNvPr id="1032" name="TextBox 19">
            <a:extLst>
              <a:ext uri="{FF2B5EF4-FFF2-40B4-BE49-F238E27FC236}">
                <a16:creationId xmlns:a16="http://schemas.microsoft.com/office/drawing/2014/main" id="{00000000-0008-0000-0000-000008040000}"/>
              </a:ext>
            </a:extLst>
          </xdr:cNvPr>
          <xdr:cNvSpPr txBox="1">
            <a:spLocks noChangeArrowheads="1"/>
          </xdr:cNvSpPr>
        </xdr:nvSpPr>
        <xdr:spPr bwMode="auto">
          <a:xfrm>
            <a:off x="507" y="45"/>
            <a:ext cx="29" cy="30"/>
          </a:xfrm>
          <a:prstGeom prst="rect">
            <a:avLst/>
          </a:prstGeom>
          <a:solidFill>
            <a:srgbClr val="CCFFCC"/>
          </a:solidFill>
          <a:ln w="9525">
            <a:solidFill>
              <a:srgbClr val="1F497D"/>
            </a:solidFill>
            <a:miter lim="800000"/>
            <a:headEnd/>
            <a:tailEnd/>
          </a:ln>
        </xdr:spPr>
      </xdr:sp>
      <xdr:sp macro="" textlink="">
        <xdr:nvSpPr>
          <xdr:cNvPr id="1796" name="TextBox 22">
            <a:extLst>
              <a:ext uri="{FF2B5EF4-FFF2-40B4-BE49-F238E27FC236}">
                <a16:creationId xmlns:a16="http://schemas.microsoft.com/office/drawing/2014/main" id="{00000000-0008-0000-0000-000004070000}"/>
              </a:ext>
            </a:extLst>
          </xdr:cNvPr>
          <xdr:cNvSpPr txBox="1">
            <a:spLocks noChangeArrowheads="1"/>
          </xdr:cNvSpPr>
        </xdr:nvSpPr>
        <xdr:spPr bwMode="auto">
          <a:xfrm>
            <a:off x="548" y="48"/>
            <a:ext cx="98" cy="36"/>
          </a:xfrm>
          <a:prstGeom prst="rect">
            <a:avLst/>
          </a:prstGeom>
          <a:solidFill>
            <a:srgbClr val="FFFFFF"/>
          </a:solidFill>
          <a:ln>
            <a:noFill/>
          </a:ln>
        </xdr:spPr>
        <xdr:txBody>
          <a:bodyPr vertOverflow="clip" wrap="square" lIns="27432" tIns="27432" rIns="0" bIns="0" anchor="t" upright="1"/>
          <a:lstStyle/>
          <a:p>
            <a:pPr algn="l" rtl="0">
              <a:defRPr sz="1000"/>
            </a:pPr>
            <a:r>
              <a:rPr lang="en-IE" sz="1100" b="1" i="0" u="none" strike="noStrike" baseline="0">
                <a:solidFill>
                  <a:srgbClr val="000080"/>
                </a:solidFill>
                <a:latin typeface="Calibri"/>
              </a:rPr>
              <a:t>Constant</a:t>
            </a:r>
          </a:p>
        </xdr:txBody>
      </xdr:sp>
      <xdr:sp macro="" textlink="">
        <xdr:nvSpPr>
          <xdr:cNvPr id="13980" name="TextBox 23">
            <a:extLst>
              <a:ext uri="{FF2B5EF4-FFF2-40B4-BE49-F238E27FC236}">
                <a16:creationId xmlns:a16="http://schemas.microsoft.com/office/drawing/2014/main" id="{00000000-0008-0000-0000-00009C360000}"/>
              </a:ext>
            </a:extLst>
          </xdr:cNvPr>
          <xdr:cNvSpPr txBox="1">
            <a:spLocks noChangeArrowheads="1"/>
          </xdr:cNvSpPr>
        </xdr:nvSpPr>
        <xdr:spPr bwMode="auto">
          <a:xfrm>
            <a:off x="548" y="122"/>
            <a:ext cx="234" cy="42"/>
          </a:xfrm>
          <a:prstGeom prst="rect">
            <a:avLst/>
          </a:prstGeom>
          <a:solidFill>
            <a:srgbClr val="FFFFFF"/>
          </a:solidFill>
          <a:ln>
            <a:noFill/>
          </a:ln>
        </xdr:spPr>
        <xdr:txBody>
          <a:bodyPr vertOverflow="clip" wrap="square" lIns="27432" tIns="22860" rIns="0" bIns="0" anchor="t" upright="1"/>
          <a:lstStyle/>
          <a:p>
            <a:pPr algn="l" rtl="0">
              <a:defRPr sz="1000"/>
            </a:pPr>
            <a:r>
              <a:rPr lang="en-IE" sz="1100" b="1" i="0" u="none" strike="noStrike" baseline="0">
                <a:solidFill>
                  <a:srgbClr val="000080"/>
                </a:solidFill>
                <a:latin typeface="Calibri"/>
              </a:rPr>
              <a:t>User does not need to edit, </a:t>
            </a:r>
          </a:p>
          <a:p>
            <a:pPr algn="l" rtl="0">
              <a:defRPr sz="1000"/>
            </a:pPr>
            <a:r>
              <a:rPr lang="en-IE" sz="1100" b="1" i="0" u="none" strike="noStrike" baseline="0">
                <a:solidFill>
                  <a:srgbClr val="000080"/>
                </a:solidFill>
                <a:latin typeface="Calibri"/>
              </a:rPr>
              <a:t>based on previous inputs</a:t>
            </a:r>
          </a:p>
        </xdr:txBody>
      </xdr:sp>
      <xdr:sp macro="" textlink="">
        <xdr:nvSpPr>
          <xdr:cNvPr id="1035" name="TextBox 20">
            <a:extLst>
              <a:ext uri="{FF2B5EF4-FFF2-40B4-BE49-F238E27FC236}">
                <a16:creationId xmlns:a16="http://schemas.microsoft.com/office/drawing/2014/main" id="{00000000-0008-0000-0000-00000B040000}"/>
              </a:ext>
            </a:extLst>
          </xdr:cNvPr>
          <xdr:cNvSpPr txBox="1">
            <a:spLocks noChangeArrowheads="1"/>
          </xdr:cNvSpPr>
        </xdr:nvSpPr>
        <xdr:spPr bwMode="auto">
          <a:xfrm>
            <a:off x="506" y="126"/>
            <a:ext cx="29" cy="28"/>
          </a:xfrm>
          <a:prstGeom prst="rect">
            <a:avLst/>
          </a:prstGeom>
          <a:solidFill>
            <a:srgbClr val="333333"/>
          </a:solidFill>
          <a:ln w="9525">
            <a:solidFill>
              <a:srgbClr val="1F497D"/>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485775</xdr:colOff>
      <xdr:row>2</xdr:row>
      <xdr:rowOff>638175</xdr:rowOff>
    </xdr:from>
    <xdr:to>
      <xdr:col>43</xdr:col>
      <xdr:colOff>161925</xdr:colOff>
      <xdr:row>16</xdr:row>
      <xdr:rowOff>266700</xdr:rowOff>
    </xdr:to>
    <xdr:graphicFrame macro="">
      <xdr:nvGraphicFramePr>
        <xdr:cNvPr id="2049" name="Chart 1">
          <a:extLst>
            <a:ext uri="{FF2B5EF4-FFF2-40B4-BE49-F238E27FC236}">
              <a16:creationId xmlns:a16="http://schemas.microsoft.com/office/drawing/2014/main" id="{00000000-0008-0000-01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0</xdr:colOff>
      <xdr:row>18</xdr:row>
      <xdr:rowOff>0</xdr:rowOff>
    </xdr:from>
    <xdr:to>
      <xdr:col>43</xdr:col>
      <xdr:colOff>285750</xdr:colOff>
      <xdr:row>32</xdr:row>
      <xdr:rowOff>104775</xdr:rowOff>
    </xdr:to>
    <xdr:graphicFrame macro="">
      <xdr:nvGraphicFramePr>
        <xdr:cNvPr id="2050" name="Chart 2">
          <a:extLst>
            <a:ext uri="{FF2B5EF4-FFF2-40B4-BE49-F238E27FC236}">
              <a16:creationId xmlns:a16="http://schemas.microsoft.com/office/drawing/2014/main" id="{00000000-0008-0000-0100-00000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0</xdr:colOff>
      <xdr:row>34</xdr:row>
      <xdr:rowOff>0</xdr:rowOff>
    </xdr:from>
    <xdr:to>
      <xdr:col>43</xdr:col>
      <xdr:colOff>285750</xdr:colOff>
      <xdr:row>38</xdr:row>
      <xdr:rowOff>1114425</xdr:rowOff>
    </xdr:to>
    <xdr:graphicFrame macro="">
      <xdr:nvGraphicFramePr>
        <xdr:cNvPr id="2051" name="Chart 3">
          <a:extLst>
            <a:ext uri="{FF2B5EF4-FFF2-40B4-BE49-F238E27FC236}">
              <a16:creationId xmlns:a16="http://schemas.microsoft.com/office/drawing/2014/main" id="{00000000-0008-0000-0100-00000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lients\DECC%20MCS\Standards\Calculators\TSPEC%20Issued\Thermal%20Solar%20Performance%20Energy%20Calculator%20v1.2%20141008%20-%20UNLOCK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john.davies\Documents\A_JDGD\Standards\EN15316-4-2-2008\ASHPs\HTHP's\15316_4_2%20SAPQ%20Model%20A_W%20HTHP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nprotected%20too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sheetName val="Calculator"/>
      <sheetName val="Version Control"/>
      <sheetName val="Calculation"/>
      <sheetName val="SAP Regions"/>
    </sheetNames>
    <sheetDataSet>
      <sheetData sheetId="0" refreshError="1"/>
      <sheetData sheetId="1">
        <row r="14">
          <cell r="K14">
            <v>1</v>
          </cell>
        </row>
        <row r="34">
          <cell r="L34">
            <v>0</v>
          </cell>
        </row>
        <row r="37">
          <cell r="F37">
            <v>1</v>
          </cell>
          <cell r="L37">
            <v>0</v>
          </cell>
        </row>
        <row r="38">
          <cell r="L38">
            <v>1</v>
          </cell>
        </row>
        <row r="51">
          <cell r="F51" t="e">
            <v>#VALUE!</v>
          </cell>
        </row>
        <row r="54">
          <cell r="F54" t="e">
            <v>#N/A</v>
          </cell>
        </row>
        <row r="58">
          <cell r="J58" t="e">
            <v>#N/A</v>
          </cell>
        </row>
        <row r="92">
          <cell r="L92" t="e">
            <v>#N/A</v>
          </cell>
        </row>
      </sheetData>
      <sheetData sheetId="2" refreshError="1"/>
      <sheetData sheetId="3">
        <row r="12">
          <cell r="F12" t="e">
            <v>#VALUE!</v>
          </cell>
        </row>
        <row r="13">
          <cell r="F13" t="e">
            <v>#VALUE!</v>
          </cell>
        </row>
        <row r="14">
          <cell r="AI14">
            <v>0</v>
          </cell>
          <cell r="AJ14" t="str">
            <v>(H3b)</v>
          </cell>
        </row>
        <row r="15">
          <cell r="AI15" t="e">
            <v>#DIV/0!</v>
          </cell>
          <cell r="AJ15" t="str">
            <v>(H4)</v>
          </cell>
        </row>
        <row r="21">
          <cell r="N21" t="str">
            <v>in degrees</v>
          </cell>
        </row>
        <row r="22">
          <cell r="N22" t="str">
            <v>in radians</v>
          </cell>
        </row>
        <row r="24">
          <cell r="N24" t="str">
            <v>(_H5)</v>
          </cell>
          <cell r="AF24" t="str">
            <v>(H7)</v>
          </cell>
          <cell r="AH24" t="str">
            <v>(H9)</v>
          </cell>
          <cell r="AI24" t="str">
            <v>(H10)</v>
          </cell>
          <cell r="AJ24" t="str">
            <v>(H13)</v>
          </cell>
          <cell r="AK24" t="str">
            <v>(H15)</v>
          </cell>
          <cell r="AL24" t="str">
            <v>(H16)</v>
          </cell>
        </row>
        <row r="25">
          <cell r="N25" t="str">
            <v>S</v>
          </cell>
          <cell r="P25">
            <v>1</v>
          </cell>
          <cell r="Q25">
            <v>2</v>
          </cell>
          <cell r="R25">
            <v>3</v>
          </cell>
          <cell r="S25">
            <v>4</v>
          </cell>
          <cell r="T25">
            <v>5</v>
          </cell>
          <cell r="U25">
            <v>6</v>
          </cell>
          <cell r="V25">
            <v>7</v>
          </cell>
          <cell r="W25">
            <v>8</v>
          </cell>
          <cell r="X25">
            <v>9</v>
          </cell>
        </row>
        <row r="26">
          <cell r="N26" t="str">
            <v>Year</v>
          </cell>
          <cell r="P26" t="str">
            <v>k1</v>
          </cell>
          <cell r="Q26" t="str">
            <v>k2</v>
          </cell>
          <cell r="R26" t="str">
            <v>k3</v>
          </cell>
          <cell r="S26" t="str">
            <v>k4</v>
          </cell>
          <cell r="T26" t="str">
            <v>k5</v>
          </cell>
          <cell r="U26" t="str">
            <v>k6</v>
          </cell>
          <cell r="V26" t="str">
            <v>k7</v>
          </cell>
          <cell r="W26" t="str">
            <v>k8</v>
          </cell>
          <cell r="X26" t="str">
            <v>k9</v>
          </cell>
          <cell r="Y26" t="str">
            <v>Pitch</v>
          </cell>
          <cell r="Z26" t="str">
            <v>A</v>
          </cell>
          <cell r="AA26" t="str">
            <v>B</v>
          </cell>
          <cell r="AB26" t="str">
            <v>C</v>
          </cell>
          <cell r="AF26" t="str">
            <v>Solar Energy Available</v>
          </cell>
          <cell r="AH26" t="str">
            <v>Utilisation factor</v>
          </cell>
          <cell r="AI26" t="str">
            <v>Collector performance factor</v>
          </cell>
          <cell r="AJ26" t="str">
            <v>Effective solar volume Veff</v>
          </cell>
          <cell r="AK26" t="str">
            <v>Volume Ratio Veff/Vd</v>
          </cell>
          <cell r="AL26" t="str">
            <v>Solar storage volume factor</v>
          </cell>
        </row>
        <row r="27">
          <cell r="N27" t="str">
            <v>(kWh/m2)</v>
          </cell>
          <cell r="Y27" t="str">
            <v>(rad)_</v>
          </cell>
          <cell r="AF27" t="str">
            <v>(kWh/year)</v>
          </cell>
        </row>
        <row r="28">
          <cell r="N28" t="e">
            <v>#VALUE!</v>
          </cell>
          <cell r="P28">
            <v>-0.66</v>
          </cell>
          <cell r="Q28">
            <v>-0.106</v>
          </cell>
          <cell r="R28">
            <v>2.93</v>
          </cell>
          <cell r="S28">
            <v>3.63</v>
          </cell>
          <cell r="T28">
            <v>-0.374</v>
          </cell>
          <cell r="U28">
            <v>-7.4</v>
          </cell>
          <cell r="V28">
            <v>-2.71</v>
          </cell>
          <cell r="W28">
            <v>-0.99099999999999999</v>
          </cell>
          <cell r="X28">
            <v>4.59</v>
          </cell>
          <cell r="Y28">
            <v>0</v>
          </cell>
          <cell r="Z28">
            <v>0</v>
          </cell>
          <cell r="AA28">
            <v>0</v>
          </cell>
          <cell r="AB28">
            <v>1</v>
          </cell>
          <cell r="AD28">
            <v>61</v>
          </cell>
          <cell r="AE28">
            <v>961.10583333333329</v>
          </cell>
          <cell r="AF28" t="e">
            <v>#VALUE!</v>
          </cell>
          <cell r="AG28" t="e">
            <v>#VALUE!</v>
          </cell>
          <cell r="AH28" t="e">
            <v>#VALUE!</v>
          </cell>
          <cell r="AI28" t="e">
            <v>#DIV/0!</v>
          </cell>
          <cell r="AJ28">
            <v>0</v>
          </cell>
          <cell r="AK28">
            <v>0</v>
          </cell>
          <cell r="AL28" t="e">
            <v>#NUM!</v>
          </cell>
          <cell r="AM28" t="e">
            <v>#VALUE!</v>
          </cell>
        </row>
        <row r="31">
          <cell r="P31" t="str">
            <v>Constants for calculation of solar flux are set according to the orientation of the panels</v>
          </cell>
        </row>
        <row r="38">
          <cell r="N38" t="str">
            <v>Nov</v>
          </cell>
          <cell r="Q38" t="str">
            <v>U4 Latitude</v>
          </cell>
        </row>
        <row r="39">
          <cell r="N39">
            <v>33</v>
          </cell>
          <cell r="Q39">
            <v>53.5</v>
          </cell>
        </row>
        <row r="40">
          <cell r="N40">
            <v>39</v>
          </cell>
          <cell r="Q40">
            <v>51.6</v>
          </cell>
        </row>
        <row r="41">
          <cell r="N41">
            <v>41</v>
          </cell>
          <cell r="Q41">
            <v>51.1</v>
          </cell>
        </row>
        <row r="42">
          <cell r="N42">
            <v>44</v>
          </cell>
          <cell r="Q42">
            <v>50.9</v>
          </cell>
        </row>
        <row r="43">
          <cell r="N43">
            <v>44</v>
          </cell>
          <cell r="Q43">
            <v>50.5</v>
          </cell>
        </row>
        <row r="44">
          <cell r="N44">
            <v>40</v>
          </cell>
          <cell r="Q44">
            <v>51.5</v>
          </cell>
        </row>
        <row r="45">
          <cell r="N45">
            <v>35</v>
          </cell>
          <cell r="Q45">
            <v>52.6</v>
          </cell>
        </row>
        <row r="46">
          <cell r="N46">
            <v>31</v>
          </cell>
          <cell r="Q46">
            <v>53.5</v>
          </cell>
        </row>
        <row r="47">
          <cell r="N47">
            <v>30</v>
          </cell>
          <cell r="Q47">
            <v>54.6</v>
          </cell>
        </row>
        <row r="48">
          <cell r="N48">
            <v>30</v>
          </cell>
          <cell r="Q48">
            <v>55.2</v>
          </cell>
        </row>
        <row r="49">
          <cell r="N49">
            <v>32</v>
          </cell>
          <cell r="Q49">
            <v>54.4</v>
          </cell>
        </row>
        <row r="50">
          <cell r="N50">
            <v>33</v>
          </cell>
          <cell r="Q50">
            <v>53.5</v>
          </cell>
        </row>
        <row r="51">
          <cell r="N51">
            <v>39</v>
          </cell>
          <cell r="Q51">
            <v>52.1</v>
          </cell>
        </row>
        <row r="52">
          <cell r="N52">
            <v>35</v>
          </cell>
          <cell r="Q52">
            <v>52.6</v>
          </cell>
        </row>
        <row r="53">
          <cell r="N53">
            <v>25</v>
          </cell>
          <cell r="Q53">
            <v>55.9</v>
          </cell>
        </row>
        <row r="54">
          <cell r="N54">
            <v>27</v>
          </cell>
          <cell r="Q54">
            <v>56.2</v>
          </cell>
        </row>
        <row r="55">
          <cell r="N55">
            <v>25</v>
          </cell>
          <cell r="Q55">
            <v>57.3</v>
          </cell>
        </row>
        <row r="56">
          <cell r="N56">
            <v>22</v>
          </cell>
          <cell r="Q56">
            <v>57.5</v>
          </cell>
        </row>
        <row r="57">
          <cell r="N57">
            <v>21</v>
          </cell>
          <cell r="Q57">
            <v>57.7</v>
          </cell>
        </row>
        <row r="58">
          <cell r="N58">
            <v>19</v>
          </cell>
          <cell r="Q58">
            <v>59</v>
          </cell>
        </row>
        <row r="59">
          <cell r="N59">
            <v>16</v>
          </cell>
          <cell r="Q59">
            <v>60.1</v>
          </cell>
        </row>
        <row r="60">
          <cell r="N60">
            <v>30</v>
          </cell>
          <cell r="Q60">
            <v>54.6</v>
          </cell>
        </row>
        <row r="77">
          <cell r="N77" t="str">
            <v>Nov</v>
          </cell>
        </row>
        <row r="78">
          <cell r="N78">
            <v>30</v>
          </cell>
        </row>
        <row r="86">
          <cell r="C86">
            <v>0</v>
          </cell>
          <cell r="D86">
            <v>1</v>
          </cell>
          <cell r="E86">
            <v>2</v>
          </cell>
          <cell r="F86">
            <v>3</v>
          </cell>
          <cell r="G86">
            <v>4</v>
          </cell>
          <cell r="H86">
            <v>5</v>
          </cell>
          <cell r="I86">
            <v>6</v>
          </cell>
          <cell r="J86">
            <v>7</v>
          </cell>
          <cell r="K86">
            <v>8</v>
          </cell>
          <cell r="L86">
            <v>9</v>
          </cell>
          <cell r="M86">
            <v>10</v>
          </cell>
          <cell r="N86">
            <v>11</v>
          </cell>
          <cell r="O86">
            <v>12</v>
          </cell>
          <cell r="P86">
            <v>13</v>
          </cell>
          <cell r="Q86">
            <v>14</v>
          </cell>
          <cell r="R86">
            <v>15</v>
          </cell>
          <cell r="S86">
            <v>16</v>
          </cell>
          <cell r="T86">
            <v>17</v>
          </cell>
          <cell r="U86">
            <v>18</v>
          </cell>
          <cell r="V86">
            <v>19</v>
          </cell>
          <cell r="W86">
            <v>20</v>
          </cell>
          <cell r="X86">
            <v>21</v>
          </cell>
          <cell r="Y86">
            <v>22</v>
          </cell>
          <cell r="Z86">
            <v>23</v>
          </cell>
          <cell r="AA86">
            <v>24</v>
          </cell>
          <cell r="AB86">
            <v>25</v>
          </cell>
          <cell r="AC86">
            <v>26</v>
          </cell>
          <cell r="AD86">
            <v>27</v>
          </cell>
          <cell r="AE86">
            <v>28</v>
          </cell>
          <cell r="AF86">
            <v>29</v>
          </cell>
          <cell r="AG86">
            <v>30</v>
          </cell>
          <cell r="AH86">
            <v>31</v>
          </cell>
          <cell r="AI86">
            <v>32</v>
          </cell>
          <cell r="AJ86">
            <v>33</v>
          </cell>
          <cell r="AK86">
            <v>34</v>
          </cell>
          <cell r="AL86">
            <v>35</v>
          </cell>
          <cell r="AM86">
            <v>36</v>
          </cell>
          <cell r="AN86">
            <v>37</v>
          </cell>
          <cell r="AO86">
            <v>38</v>
          </cell>
          <cell r="AP86">
            <v>39</v>
          </cell>
          <cell r="AQ86">
            <v>40</v>
          </cell>
          <cell r="AR86">
            <v>41</v>
          </cell>
          <cell r="AS86">
            <v>42</v>
          </cell>
          <cell r="AT86">
            <v>43</v>
          </cell>
          <cell r="AU86">
            <v>44</v>
          </cell>
          <cell r="AV86">
            <v>45</v>
          </cell>
          <cell r="AW86">
            <v>46</v>
          </cell>
          <cell r="AX86">
            <v>47</v>
          </cell>
          <cell r="AY86">
            <v>48</v>
          </cell>
          <cell r="AZ86">
            <v>49</v>
          </cell>
          <cell r="BA86">
            <v>50</v>
          </cell>
          <cell r="BB86">
            <v>51</v>
          </cell>
          <cell r="BC86">
            <v>52</v>
          </cell>
          <cell r="BD86">
            <v>53</v>
          </cell>
          <cell r="BE86">
            <v>54</v>
          </cell>
          <cell r="BF86">
            <v>55</v>
          </cell>
          <cell r="BG86">
            <v>56</v>
          </cell>
          <cell r="BH86">
            <v>57</v>
          </cell>
          <cell r="BI86">
            <v>58</v>
          </cell>
          <cell r="BJ86">
            <v>59</v>
          </cell>
          <cell r="BK86">
            <v>60</v>
          </cell>
          <cell r="BL86">
            <v>61</v>
          </cell>
          <cell r="BM86">
            <v>62</v>
          </cell>
          <cell r="BN86">
            <v>63</v>
          </cell>
          <cell r="BO86">
            <v>64</v>
          </cell>
          <cell r="BP86">
            <v>65</v>
          </cell>
          <cell r="BQ86">
            <v>66</v>
          </cell>
          <cell r="BR86">
            <v>67</v>
          </cell>
          <cell r="BS86">
            <v>68</v>
          </cell>
          <cell r="BT86">
            <v>69</v>
          </cell>
          <cell r="BU86">
            <v>70</v>
          </cell>
          <cell r="BV86">
            <v>71</v>
          </cell>
          <cell r="BW86">
            <v>72</v>
          </cell>
          <cell r="BX86">
            <v>73</v>
          </cell>
          <cell r="BY86">
            <v>74</v>
          </cell>
          <cell r="BZ86">
            <v>75</v>
          </cell>
          <cell r="CA86">
            <v>76</v>
          </cell>
          <cell r="CB86">
            <v>77</v>
          </cell>
          <cell r="CC86">
            <v>78</v>
          </cell>
          <cell r="CD86">
            <v>79</v>
          </cell>
          <cell r="CE86">
            <v>80</v>
          </cell>
          <cell r="CF86">
            <v>81</v>
          </cell>
          <cell r="CG86">
            <v>82</v>
          </cell>
          <cell r="CH86">
            <v>83</v>
          </cell>
          <cell r="CI86">
            <v>84</v>
          </cell>
          <cell r="CJ86">
            <v>85</v>
          </cell>
          <cell r="CK86">
            <v>86</v>
          </cell>
          <cell r="CL86">
            <v>87</v>
          </cell>
          <cell r="CM86">
            <v>88</v>
          </cell>
          <cell r="CN86">
            <v>89</v>
          </cell>
          <cell r="CO86">
            <v>90</v>
          </cell>
          <cell r="CP86">
            <v>91</v>
          </cell>
          <cell r="CQ86">
            <v>92</v>
          </cell>
          <cell r="CR86">
            <v>93</v>
          </cell>
          <cell r="CS86">
            <v>94</v>
          </cell>
          <cell r="CT86">
            <v>95</v>
          </cell>
          <cell r="CU86">
            <v>96</v>
          </cell>
          <cell r="CV86">
            <v>97</v>
          </cell>
          <cell r="CW86">
            <v>98</v>
          </cell>
          <cell r="CX86">
            <v>99</v>
          </cell>
          <cell r="CY86">
            <v>100</v>
          </cell>
          <cell r="CZ86">
            <v>101</v>
          </cell>
          <cell r="DA86">
            <v>102</v>
          </cell>
          <cell r="DB86">
            <v>103</v>
          </cell>
          <cell r="DC86">
            <v>104</v>
          </cell>
          <cell r="DD86">
            <v>105</v>
          </cell>
          <cell r="DE86">
            <v>106</v>
          </cell>
          <cell r="DF86">
            <v>107</v>
          </cell>
          <cell r="DG86">
            <v>108</v>
          </cell>
          <cell r="DH86">
            <v>109</v>
          </cell>
          <cell r="DI86">
            <v>110</v>
          </cell>
          <cell r="DJ86">
            <v>111</v>
          </cell>
          <cell r="DK86">
            <v>112</v>
          </cell>
          <cell r="DL86">
            <v>113</v>
          </cell>
          <cell r="DM86">
            <v>114</v>
          </cell>
          <cell r="DN86">
            <v>115</v>
          </cell>
          <cell r="DO86">
            <v>116</v>
          </cell>
          <cell r="DP86">
            <v>117</v>
          </cell>
          <cell r="DQ86">
            <v>118</v>
          </cell>
          <cell r="DR86">
            <v>119</v>
          </cell>
          <cell r="DS86">
            <v>120</v>
          </cell>
          <cell r="DT86">
            <v>121</v>
          </cell>
          <cell r="DU86">
            <v>122</v>
          </cell>
          <cell r="DV86">
            <v>123</v>
          </cell>
          <cell r="DW86">
            <v>124</v>
          </cell>
          <cell r="DX86">
            <v>125</v>
          </cell>
          <cell r="DY86">
            <v>126</v>
          </cell>
          <cell r="DZ86">
            <v>127</v>
          </cell>
          <cell r="EA86">
            <v>128</v>
          </cell>
          <cell r="EB86">
            <v>129</v>
          </cell>
          <cell r="EC86">
            <v>130</v>
          </cell>
          <cell r="ED86">
            <v>131</v>
          </cell>
          <cell r="EE86">
            <v>132</v>
          </cell>
          <cell r="EF86">
            <v>133</v>
          </cell>
          <cell r="EG86">
            <v>134</v>
          </cell>
          <cell r="EH86">
            <v>135</v>
          </cell>
          <cell r="EI86">
            <v>136</v>
          </cell>
          <cell r="EJ86">
            <v>137</v>
          </cell>
          <cell r="EK86">
            <v>138</v>
          </cell>
          <cell r="EL86">
            <v>139</v>
          </cell>
          <cell r="EM86">
            <v>140</v>
          </cell>
          <cell r="EN86">
            <v>141</v>
          </cell>
          <cell r="EO86">
            <v>142</v>
          </cell>
          <cell r="EP86">
            <v>143</v>
          </cell>
          <cell r="EQ86">
            <v>144</v>
          </cell>
          <cell r="ER86">
            <v>145</v>
          </cell>
          <cell r="ES86">
            <v>146</v>
          </cell>
          <cell r="ET86">
            <v>147</v>
          </cell>
          <cell r="EU86">
            <v>148</v>
          </cell>
          <cell r="EV86">
            <v>149</v>
          </cell>
          <cell r="EW86">
            <v>150</v>
          </cell>
          <cell r="EX86">
            <v>151</v>
          </cell>
          <cell r="EY86">
            <v>152</v>
          </cell>
          <cell r="EZ86">
            <v>153</v>
          </cell>
          <cell r="FA86">
            <v>154</v>
          </cell>
          <cell r="FB86">
            <v>155</v>
          </cell>
          <cell r="FC86">
            <v>156</v>
          </cell>
          <cell r="FD86">
            <v>157</v>
          </cell>
          <cell r="FE86">
            <v>158</v>
          </cell>
          <cell r="FF86">
            <v>159</v>
          </cell>
          <cell r="FG86">
            <v>160</v>
          </cell>
          <cell r="FH86">
            <v>161</v>
          </cell>
          <cell r="FI86">
            <v>162</v>
          </cell>
          <cell r="FJ86">
            <v>163</v>
          </cell>
          <cell r="FK86">
            <v>164</v>
          </cell>
          <cell r="FL86">
            <v>165</v>
          </cell>
          <cell r="FM86">
            <v>166</v>
          </cell>
          <cell r="FN86">
            <v>167</v>
          </cell>
          <cell r="FO86">
            <v>168</v>
          </cell>
          <cell r="FP86">
            <v>169</v>
          </cell>
          <cell r="FQ86">
            <v>170</v>
          </cell>
          <cell r="FR86">
            <v>171</v>
          </cell>
          <cell r="FS86">
            <v>172</v>
          </cell>
          <cell r="FT86">
            <v>173</v>
          </cell>
          <cell r="FU86">
            <v>174</v>
          </cell>
          <cell r="FV86">
            <v>175</v>
          </cell>
          <cell r="FW86">
            <v>176</v>
          </cell>
          <cell r="FX86">
            <v>177</v>
          </cell>
          <cell r="FY86">
            <v>178</v>
          </cell>
          <cell r="FZ86">
            <v>179</v>
          </cell>
          <cell r="GA86">
            <v>180</v>
          </cell>
        </row>
        <row r="87">
          <cell r="C87" t="str">
            <v>South</v>
          </cell>
          <cell r="AV87" t="str">
            <v>SE/SW</v>
          </cell>
          <cell r="CO87" t="str">
            <v>E/W</v>
          </cell>
          <cell r="EH87" t="str">
            <v>NE/NW</v>
          </cell>
          <cell r="GA87" t="str">
            <v>North</v>
          </cell>
        </row>
        <row r="88">
          <cell r="B88" t="str">
            <v>k1</v>
          </cell>
          <cell r="C88">
            <v>-0.66</v>
          </cell>
          <cell r="D88">
            <v>-0.7108888888888889</v>
          </cell>
          <cell r="E88">
            <v>-0.76177777777777778</v>
          </cell>
          <cell r="F88">
            <v>-0.81266666666666665</v>
          </cell>
          <cell r="G88">
            <v>-0.86355555555555552</v>
          </cell>
          <cell r="H88">
            <v>-0.91444444444444439</v>
          </cell>
          <cell r="I88">
            <v>-0.96533333333333327</v>
          </cell>
          <cell r="J88">
            <v>-1.0162222222222221</v>
          </cell>
          <cell r="K88">
            <v>-1.0671111111111111</v>
          </cell>
          <cell r="L88">
            <v>-1.1180000000000001</v>
          </cell>
          <cell r="M88">
            <v>-1.1688888888888891</v>
          </cell>
          <cell r="N88">
            <v>-1.2197777777777781</v>
          </cell>
          <cell r="O88">
            <v>-1.2706666666666671</v>
          </cell>
          <cell r="P88">
            <v>-1.321555555555556</v>
          </cell>
          <cell r="Q88">
            <v>-1.372444444444445</v>
          </cell>
          <cell r="R88">
            <v>-1.423333333333334</v>
          </cell>
          <cell r="S88">
            <v>-1.474222222222223</v>
          </cell>
          <cell r="T88">
            <v>-1.525111111111112</v>
          </cell>
          <cell r="U88">
            <v>-1.576000000000001</v>
          </cell>
          <cell r="V88">
            <v>-1.6268888888888899</v>
          </cell>
          <cell r="W88">
            <v>-1.6777777777777789</v>
          </cell>
          <cell r="X88">
            <v>-1.7286666666666679</v>
          </cell>
          <cell r="Y88">
            <v>-1.7795555555555569</v>
          </cell>
          <cell r="Z88">
            <v>-1.8304444444444459</v>
          </cell>
          <cell r="AA88">
            <v>-1.8813333333333349</v>
          </cell>
          <cell r="AB88">
            <v>-1.9322222222222238</v>
          </cell>
          <cell r="AC88">
            <v>-1.9831111111111128</v>
          </cell>
          <cell r="AD88">
            <v>-2.0340000000000016</v>
          </cell>
          <cell r="AE88">
            <v>-2.0848888888888903</v>
          </cell>
          <cell r="AF88">
            <v>-2.1357777777777791</v>
          </cell>
          <cell r="AG88">
            <v>-2.1866666666666679</v>
          </cell>
          <cell r="AH88">
            <v>-2.2375555555555566</v>
          </cell>
          <cell r="AI88">
            <v>-2.2884444444444454</v>
          </cell>
          <cell r="AJ88">
            <v>-2.3393333333333342</v>
          </cell>
          <cell r="AK88">
            <v>-2.3902222222222229</v>
          </cell>
          <cell r="AL88">
            <v>-2.4411111111111117</v>
          </cell>
          <cell r="AM88">
            <v>-2.4920000000000004</v>
          </cell>
          <cell r="AN88">
            <v>-2.5428888888888892</v>
          </cell>
          <cell r="AO88">
            <v>-2.593777777777778</v>
          </cell>
          <cell r="AP88">
            <v>-2.6446666666666667</v>
          </cell>
          <cell r="AQ88">
            <v>-2.6955555555555555</v>
          </cell>
          <cell r="AR88">
            <v>-2.7464444444444442</v>
          </cell>
          <cell r="AS88">
            <v>-2.797333333333333</v>
          </cell>
          <cell r="AT88">
            <v>-2.8482222222222218</v>
          </cell>
          <cell r="AU88">
            <v>-2.8991111111111105</v>
          </cell>
          <cell r="AV88">
            <v>-2.95</v>
          </cell>
          <cell r="AW88">
            <v>-2.8524444444444446</v>
          </cell>
          <cell r="AX88">
            <v>-2.7548888888888889</v>
          </cell>
          <cell r="AY88">
            <v>-2.6573333333333333</v>
          </cell>
          <cell r="AZ88">
            <v>-2.5597777777777777</v>
          </cell>
          <cell r="BA88">
            <v>-2.4622222222222221</v>
          </cell>
          <cell r="BB88">
            <v>-2.3646666666666665</v>
          </cell>
          <cell r="BC88">
            <v>-2.2671111111111109</v>
          </cell>
          <cell r="BD88">
            <v>-2.1695555555555552</v>
          </cell>
          <cell r="BE88">
            <v>-2.0719999999999996</v>
          </cell>
          <cell r="BF88">
            <v>-1.974444444444444</v>
          </cell>
          <cell r="BG88">
            <v>-1.8768888888888884</v>
          </cell>
          <cell r="BH88">
            <v>-1.7793333333333328</v>
          </cell>
          <cell r="BI88">
            <v>-1.6817777777777771</v>
          </cell>
          <cell r="BJ88">
            <v>-1.5842222222222215</v>
          </cell>
          <cell r="BK88">
            <v>-1.4866666666666659</v>
          </cell>
          <cell r="BL88">
            <v>-1.3891111111111103</v>
          </cell>
          <cell r="BM88">
            <v>-1.2915555555555547</v>
          </cell>
          <cell r="BN88">
            <v>-1.1939999999999991</v>
          </cell>
          <cell r="BO88">
            <v>-1.0964444444444434</v>
          </cell>
          <cell r="BP88">
            <v>-0.99888888888888783</v>
          </cell>
          <cell r="BQ88">
            <v>-0.90133333333333221</v>
          </cell>
          <cell r="BR88">
            <v>-0.80377777777777659</v>
          </cell>
          <cell r="BS88">
            <v>-0.70622222222222097</v>
          </cell>
          <cell r="BT88">
            <v>-0.60866666666666536</v>
          </cell>
          <cell r="BU88">
            <v>-0.51111111111110974</v>
          </cell>
          <cell r="BV88">
            <v>-0.41355555555555418</v>
          </cell>
          <cell r="BW88">
            <v>-0.31599999999999862</v>
          </cell>
          <cell r="BX88">
            <v>-0.21844444444444305</v>
          </cell>
          <cell r="BY88">
            <v>-0.12088888888888749</v>
          </cell>
          <cell r="BZ88">
            <v>-2.3333333333331929E-2</v>
          </cell>
          <cell r="CA88">
            <v>7.4222222222223633E-2</v>
          </cell>
          <cell r="CB88">
            <v>0.17177777777777919</v>
          </cell>
          <cell r="CC88">
            <v>0.26933333333333476</v>
          </cell>
          <cell r="CD88">
            <v>0.36688888888889032</v>
          </cell>
          <cell r="CE88">
            <v>0.46444444444444588</v>
          </cell>
          <cell r="CF88">
            <v>0.56200000000000139</v>
          </cell>
          <cell r="CG88">
            <v>0.659555555555557</v>
          </cell>
          <cell r="CH88">
            <v>0.75711111111111262</v>
          </cell>
          <cell r="CI88">
            <v>0.85466666666666824</v>
          </cell>
          <cell r="CJ88">
            <v>0.95222222222222386</v>
          </cell>
          <cell r="CK88">
            <v>1.0497777777777795</v>
          </cell>
          <cell r="CL88">
            <v>1.1473333333333351</v>
          </cell>
          <cell r="CM88">
            <v>1.2448888888888907</v>
          </cell>
          <cell r="CN88">
            <v>1.3424444444444463</v>
          </cell>
          <cell r="CO88">
            <v>1.44</v>
          </cell>
          <cell r="CP88">
            <v>1.4116666666666666</v>
          </cell>
          <cell r="CQ88">
            <v>1.3833333333333333</v>
          </cell>
          <cell r="CR88">
            <v>1.355</v>
          </cell>
          <cell r="CS88">
            <v>1.3266666666666667</v>
          </cell>
          <cell r="CT88">
            <v>1.2983333333333333</v>
          </cell>
          <cell r="CU88">
            <v>1.27</v>
          </cell>
          <cell r="CV88">
            <v>1.2416666666666667</v>
          </cell>
          <cell r="CW88">
            <v>1.2133333333333334</v>
          </cell>
          <cell r="CX88">
            <v>1.1850000000000001</v>
          </cell>
          <cell r="CY88">
            <v>1.1566666666666667</v>
          </cell>
          <cell r="CZ88">
            <v>1.1283333333333334</v>
          </cell>
          <cell r="DA88">
            <v>1.1000000000000001</v>
          </cell>
          <cell r="DB88">
            <v>1.0716666666666668</v>
          </cell>
          <cell r="DC88">
            <v>1.0433333333333334</v>
          </cell>
          <cell r="DD88">
            <v>1.0150000000000001</v>
          </cell>
          <cell r="DE88">
            <v>0.9866666666666668</v>
          </cell>
          <cell r="DF88">
            <v>0.95833333333333348</v>
          </cell>
          <cell r="DG88">
            <v>0.93000000000000016</v>
          </cell>
          <cell r="DH88">
            <v>0.90166666666666684</v>
          </cell>
          <cell r="DI88">
            <v>0.87333333333333352</v>
          </cell>
          <cell r="DJ88">
            <v>0.8450000000000002</v>
          </cell>
          <cell r="DK88">
            <v>0.81666666666666687</v>
          </cell>
          <cell r="DL88">
            <v>0.78833333333333355</v>
          </cell>
          <cell r="DM88">
            <v>0.76000000000000023</v>
          </cell>
          <cell r="DN88">
            <v>0.73166666666666691</v>
          </cell>
          <cell r="DO88">
            <v>0.70333333333333359</v>
          </cell>
          <cell r="DP88">
            <v>0.67500000000000027</v>
          </cell>
          <cell r="DQ88">
            <v>0.64666666666666694</v>
          </cell>
          <cell r="DR88">
            <v>0.61833333333333362</v>
          </cell>
          <cell r="DS88">
            <v>0.5900000000000003</v>
          </cell>
          <cell r="DT88">
            <v>0.56166666666666698</v>
          </cell>
          <cell r="DU88">
            <v>0.53333333333333366</v>
          </cell>
          <cell r="DV88">
            <v>0.50500000000000034</v>
          </cell>
          <cell r="DW88">
            <v>0.47666666666666702</v>
          </cell>
          <cell r="DX88">
            <v>0.44833333333333369</v>
          </cell>
          <cell r="DY88">
            <v>0.42000000000000037</v>
          </cell>
          <cell r="DZ88">
            <v>0.39166666666666705</v>
          </cell>
          <cell r="EA88">
            <v>0.36333333333333373</v>
          </cell>
          <cell r="EB88">
            <v>0.33500000000000041</v>
          </cell>
          <cell r="EC88">
            <v>0.30666666666666709</v>
          </cell>
          <cell r="ED88">
            <v>0.27833333333333377</v>
          </cell>
          <cell r="EE88">
            <v>0.25000000000000044</v>
          </cell>
          <cell r="EF88">
            <v>0.22166666666666712</v>
          </cell>
          <cell r="EG88">
            <v>0.1933333333333338</v>
          </cell>
          <cell r="EH88">
            <v>0.16500000000000001</v>
          </cell>
          <cell r="EI88">
            <v>0.74577777777777787</v>
          </cell>
          <cell r="EJ88">
            <v>1.3265555555555557</v>
          </cell>
          <cell r="EK88">
            <v>1.9073333333333335</v>
          </cell>
          <cell r="EL88">
            <v>2.4881111111111114</v>
          </cell>
          <cell r="EM88">
            <v>3.068888888888889</v>
          </cell>
          <cell r="EN88">
            <v>3.6496666666666666</v>
          </cell>
          <cell r="EO88">
            <v>4.2304444444444442</v>
          </cell>
          <cell r="EP88">
            <v>4.8112222222222218</v>
          </cell>
          <cell r="EQ88">
            <v>5.3919999999999995</v>
          </cell>
          <cell r="ER88">
            <v>5.9727777777777771</v>
          </cell>
          <cell r="ES88">
            <v>6.5535555555555547</v>
          </cell>
          <cell r="ET88">
            <v>7.1343333333333323</v>
          </cell>
          <cell r="EU88">
            <v>7.7151111111111099</v>
          </cell>
          <cell r="EV88">
            <v>8.2958888888888875</v>
          </cell>
          <cell r="EW88">
            <v>8.8766666666666652</v>
          </cell>
          <cell r="EX88">
            <v>9.4574444444444428</v>
          </cell>
          <cell r="EY88">
            <v>10.03822222222222</v>
          </cell>
          <cell r="EZ88">
            <v>10.618999999999998</v>
          </cell>
          <cell r="FA88">
            <v>11.199777777777776</v>
          </cell>
          <cell r="FB88">
            <v>11.780555555555553</v>
          </cell>
          <cell r="FC88">
            <v>12.361333333333331</v>
          </cell>
          <cell r="FD88">
            <v>12.942111111111108</v>
          </cell>
          <cell r="FE88">
            <v>13.522888888888886</v>
          </cell>
          <cell r="FF88">
            <v>14.103666666666664</v>
          </cell>
          <cell r="FG88">
            <v>14.684444444444441</v>
          </cell>
          <cell r="FH88">
            <v>15.265222222222219</v>
          </cell>
          <cell r="FI88">
            <v>15.845999999999997</v>
          </cell>
          <cell r="FJ88">
            <v>16.426777777777776</v>
          </cell>
          <cell r="FK88">
            <v>17.007555555555555</v>
          </cell>
          <cell r="FL88">
            <v>17.588333333333335</v>
          </cell>
          <cell r="FM88">
            <v>18.169111111111114</v>
          </cell>
          <cell r="FN88">
            <v>18.749888888888893</v>
          </cell>
          <cell r="FO88">
            <v>19.330666666666673</v>
          </cell>
          <cell r="FP88">
            <v>19.911444444444452</v>
          </cell>
          <cell r="FQ88">
            <v>20.492222222222232</v>
          </cell>
          <cell r="FR88">
            <v>21.073000000000011</v>
          </cell>
          <cell r="FS88">
            <v>21.65377777777779</v>
          </cell>
          <cell r="FT88">
            <v>22.23455555555557</v>
          </cell>
          <cell r="FU88">
            <v>22.815333333333349</v>
          </cell>
          <cell r="FV88">
            <v>23.396111111111129</v>
          </cell>
          <cell r="FW88">
            <v>23.976888888888908</v>
          </cell>
          <cell r="FX88">
            <v>24.557666666666687</v>
          </cell>
          <cell r="FY88">
            <v>25.138444444444467</v>
          </cell>
          <cell r="FZ88">
            <v>25.719222222222246</v>
          </cell>
          <cell r="GA88">
            <v>26.3</v>
          </cell>
        </row>
        <row r="89">
          <cell r="B89" t="str">
            <v>k2</v>
          </cell>
          <cell r="C89">
            <v>-0.106</v>
          </cell>
          <cell r="D89">
            <v>-3.942222222222222E-2</v>
          </cell>
          <cell r="E89">
            <v>2.7155555555555558E-2</v>
          </cell>
          <cell r="F89">
            <v>9.3733333333333335E-2</v>
          </cell>
          <cell r="G89">
            <v>0.16031111111111113</v>
          </cell>
          <cell r="H89">
            <v>0.22688888888888892</v>
          </cell>
          <cell r="I89">
            <v>0.29346666666666671</v>
          </cell>
          <cell r="J89">
            <v>0.3600444444444445</v>
          </cell>
          <cell r="K89">
            <v>0.42662222222222229</v>
          </cell>
          <cell r="L89">
            <v>0.49320000000000008</v>
          </cell>
          <cell r="M89">
            <v>0.55977777777777782</v>
          </cell>
          <cell r="N89">
            <v>0.62635555555555555</v>
          </cell>
          <cell r="O89">
            <v>0.69293333333333329</v>
          </cell>
          <cell r="P89">
            <v>0.75951111111111103</v>
          </cell>
          <cell r="Q89">
            <v>0.82608888888888876</v>
          </cell>
          <cell r="R89">
            <v>0.8926666666666665</v>
          </cell>
          <cell r="S89">
            <v>0.95924444444444423</v>
          </cell>
          <cell r="T89">
            <v>1.025822222222222</v>
          </cell>
          <cell r="U89">
            <v>1.0923999999999998</v>
          </cell>
          <cell r="V89">
            <v>1.1589777777777777</v>
          </cell>
          <cell r="W89">
            <v>1.2255555555555555</v>
          </cell>
          <cell r="X89">
            <v>1.2921333333333334</v>
          </cell>
          <cell r="Y89">
            <v>1.3587111111111112</v>
          </cell>
          <cell r="Z89">
            <v>1.425288888888889</v>
          </cell>
          <cell r="AA89">
            <v>1.4918666666666669</v>
          </cell>
          <cell r="AB89">
            <v>1.5584444444444447</v>
          </cell>
          <cell r="AC89">
            <v>1.6250222222222226</v>
          </cell>
          <cell r="AD89">
            <v>1.6916000000000004</v>
          </cell>
          <cell r="AE89">
            <v>1.7581777777777783</v>
          </cell>
          <cell r="AF89">
            <v>1.8247555555555561</v>
          </cell>
          <cell r="AG89">
            <v>1.891333333333334</v>
          </cell>
          <cell r="AH89">
            <v>1.9579111111111118</v>
          </cell>
          <cell r="AI89">
            <v>2.0244888888888894</v>
          </cell>
          <cell r="AJ89">
            <v>2.0910666666666673</v>
          </cell>
          <cell r="AK89">
            <v>2.1576444444444451</v>
          </cell>
          <cell r="AL89">
            <v>2.224222222222223</v>
          </cell>
          <cell r="AM89">
            <v>2.2908000000000008</v>
          </cell>
          <cell r="AN89">
            <v>2.3573777777777787</v>
          </cell>
          <cell r="AO89">
            <v>2.4239555555555565</v>
          </cell>
          <cell r="AP89">
            <v>2.4905333333333344</v>
          </cell>
          <cell r="AQ89">
            <v>2.5571111111111122</v>
          </cell>
          <cell r="AR89">
            <v>2.6236888888888901</v>
          </cell>
          <cell r="AS89">
            <v>2.6902666666666679</v>
          </cell>
          <cell r="AT89">
            <v>2.7568444444444458</v>
          </cell>
          <cell r="AU89">
            <v>2.8234222222222236</v>
          </cell>
          <cell r="AV89">
            <v>2.89</v>
          </cell>
          <cell r="AW89">
            <v>2.7733333333333334</v>
          </cell>
          <cell r="AX89">
            <v>2.6566666666666667</v>
          </cell>
          <cell r="AY89">
            <v>2.54</v>
          </cell>
          <cell r="AZ89">
            <v>2.4233333333333333</v>
          </cell>
          <cell r="BA89">
            <v>2.3066666666666666</v>
          </cell>
          <cell r="BB89">
            <v>2.19</v>
          </cell>
          <cell r="BC89">
            <v>2.0733333333333333</v>
          </cell>
          <cell r="BD89">
            <v>1.9566666666666666</v>
          </cell>
          <cell r="BE89">
            <v>1.8399999999999999</v>
          </cell>
          <cell r="BF89">
            <v>1.7233333333333332</v>
          </cell>
          <cell r="BG89">
            <v>1.6066666666666665</v>
          </cell>
          <cell r="BH89">
            <v>1.4899999999999998</v>
          </cell>
          <cell r="BI89">
            <v>1.3733333333333331</v>
          </cell>
          <cell r="BJ89">
            <v>1.2566666666666664</v>
          </cell>
          <cell r="BK89">
            <v>1.1399999999999997</v>
          </cell>
          <cell r="BL89">
            <v>1.023333333333333</v>
          </cell>
          <cell r="BM89">
            <v>0.90666666666666629</v>
          </cell>
          <cell r="BN89">
            <v>0.78999999999999959</v>
          </cell>
          <cell r="BO89">
            <v>0.6733333333333329</v>
          </cell>
          <cell r="BP89">
            <v>0.5566666666666662</v>
          </cell>
          <cell r="BQ89">
            <v>0.4399999999999995</v>
          </cell>
          <cell r="BR89">
            <v>0.32333333333333281</v>
          </cell>
          <cell r="BS89">
            <v>0.20666666666666614</v>
          </cell>
          <cell r="BT89">
            <v>8.9999999999999469E-2</v>
          </cell>
          <cell r="BU89">
            <v>-2.6666666666667199E-2</v>
          </cell>
          <cell r="BV89">
            <v>-0.14333333333333387</v>
          </cell>
          <cell r="BW89">
            <v>-0.26000000000000056</v>
          </cell>
          <cell r="BX89">
            <v>-0.37666666666666726</v>
          </cell>
          <cell r="BY89">
            <v>-0.49333333333333396</v>
          </cell>
          <cell r="BZ89">
            <v>-0.61000000000000065</v>
          </cell>
          <cell r="CA89">
            <v>-0.72666666666666735</v>
          </cell>
          <cell r="CB89">
            <v>-0.84333333333333405</v>
          </cell>
          <cell r="CC89">
            <v>-0.96000000000000074</v>
          </cell>
          <cell r="CD89">
            <v>-1.0766666666666673</v>
          </cell>
          <cell r="CE89">
            <v>-1.193333333333334</v>
          </cell>
          <cell r="CF89">
            <v>-1.3100000000000007</v>
          </cell>
          <cell r="CG89">
            <v>-1.4266666666666674</v>
          </cell>
          <cell r="CH89">
            <v>-1.5433333333333341</v>
          </cell>
          <cell r="CI89">
            <v>-1.6600000000000008</v>
          </cell>
          <cell r="CJ89">
            <v>-1.7766666666666675</v>
          </cell>
          <cell r="CK89">
            <v>-1.8933333333333342</v>
          </cell>
          <cell r="CL89">
            <v>-2.0100000000000007</v>
          </cell>
          <cell r="CM89">
            <v>-2.1266666666666674</v>
          </cell>
          <cell r="CN89">
            <v>-2.2433333333333341</v>
          </cell>
          <cell r="CO89">
            <v>-2.36</v>
          </cell>
          <cell r="CP89">
            <v>-2.3893333333333331</v>
          </cell>
          <cell r="CQ89">
            <v>-2.4186666666666663</v>
          </cell>
          <cell r="CR89">
            <v>-2.4479999999999995</v>
          </cell>
          <cell r="CS89">
            <v>-2.4773333333333327</v>
          </cell>
          <cell r="CT89">
            <v>-2.5066666666666659</v>
          </cell>
          <cell r="CU89">
            <v>-2.5359999999999991</v>
          </cell>
          <cell r="CV89">
            <v>-2.5653333333333324</v>
          </cell>
          <cell r="CW89">
            <v>-2.5946666666666656</v>
          </cell>
          <cell r="CX89">
            <v>-2.6239999999999988</v>
          </cell>
          <cell r="CY89">
            <v>-2.653333333333332</v>
          </cell>
          <cell r="CZ89">
            <v>-2.6826666666666652</v>
          </cell>
          <cell r="DA89">
            <v>-2.7119999999999984</v>
          </cell>
          <cell r="DB89">
            <v>-2.7413333333333316</v>
          </cell>
          <cell r="DC89">
            <v>-2.7706666666666648</v>
          </cell>
          <cell r="DD89">
            <v>-2.799999999999998</v>
          </cell>
          <cell r="DE89">
            <v>-2.8293333333333313</v>
          </cell>
          <cell r="DF89">
            <v>-2.8586666666666645</v>
          </cell>
          <cell r="DG89">
            <v>-2.8879999999999977</v>
          </cell>
          <cell r="DH89">
            <v>-2.9173333333333309</v>
          </cell>
          <cell r="DI89">
            <v>-2.9466666666666641</v>
          </cell>
          <cell r="DJ89">
            <v>-2.9759999999999973</v>
          </cell>
          <cell r="DK89">
            <v>-3.0053333333333305</v>
          </cell>
          <cell r="DL89">
            <v>-3.0346666666666637</v>
          </cell>
          <cell r="DM89">
            <v>-3.0639999999999969</v>
          </cell>
          <cell r="DN89">
            <v>-3.0933333333333302</v>
          </cell>
          <cell r="DO89">
            <v>-3.1226666666666634</v>
          </cell>
          <cell r="DP89">
            <v>-3.1519999999999966</v>
          </cell>
          <cell r="DQ89">
            <v>-3.1813333333333298</v>
          </cell>
          <cell r="DR89">
            <v>-3.210666666666663</v>
          </cell>
          <cell r="DS89">
            <v>-3.2399999999999962</v>
          </cell>
          <cell r="DT89">
            <v>-3.2693333333333294</v>
          </cell>
          <cell r="DU89">
            <v>-3.2986666666666626</v>
          </cell>
          <cell r="DV89">
            <v>-3.3279999999999959</v>
          </cell>
          <cell r="DW89">
            <v>-3.3573333333333291</v>
          </cell>
          <cell r="DX89">
            <v>-3.3866666666666623</v>
          </cell>
          <cell r="DY89">
            <v>-3.4159999999999955</v>
          </cell>
          <cell r="DZ89">
            <v>-3.4453333333333287</v>
          </cell>
          <cell r="EA89">
            <v>-3.4746666666666619</v>
          </cell>
          <cell r="EB89">
            <v>-3.5039999999999951</v>
          </cell>
          <cell r="EC89">
            <v>-3.5333333333333283</v>
          </cell>
          <cell r="ED89">
            <v>-3.5626666666666615</v>
          </cell>
          <cell r="EE89">
            <v>-3.5919999999999948</v>
          </cell>
          <cell r="EF89">
            <v>-3.621333333333328</v>
          </cell>
          <cell r="EG89">
            <v>-3.6506666666666612</v>
          </cell>
          <cell r="EH89">
            <v>-3.68</v>
          </cell>
          <cell r="EI89">
            <v>-4.4537777777777778</v>
          </cell>
          <cell r="EJ89">
            <v>-5.227555555555556</v>
          </cell>
          <cell r="EK89">
            <v>-6.0013333333333341</v>
          </cell>
          <cell r="EL89">
            <v>-6.7751111111111122</v>
          </cell>
          <cell r="EM89">
            <v>-7.5488888888888903</v>
          </cell>
          <cell r="EN89">
            <v>-8.3226666666666684</v>
          </cell>
          <cell r="EO89">
            <v>-9.0964444444444457</v>
          </cell>
          <cell r="EP89">
            <v>-9.8702222222222229</v>
          </cell>
          <cell r="EQ89">
            <v>-10.644</v>
          </cell>
          <cell r="ER89">
            <v>-11.417777777777777</v>
          </cell>
          <cell r="ES89">
            <v>-12.191555555555555</v>
          </cell>
          <cell r="ET89">
            <v>-12.965333333333332</v>
          </cell>
          <cell r="EU89">
            <v>-13.739111111111109</v>
          </cell>
          <cell r="EV89">
            <v>-14.512888888888886</v>
          </cell>
          <cell r="EW89">
            <v>-15.286666666666664</v>
          </cell>
          <cell r="EX89">
            <v>-16.060444444444443</v>
          </cell>
          <cell r="EY89">
            <v>-16.83422222222222</v>
          </cell>
          <cell r="EZ89">
            <v>-17.607999999999997</v>
          </cell>
          <cell r="FA89">
            <v>-18.381777777777774</v>
          </cell>
          <cell r="FB89">
            <v>-19.155555555555551</v>
          </cell>
          <cell r="FC89">
            <v>-19.929333333333329</v>
          </cell>
          <cell r="FD89">
            <v>-20.703111111111106</v>
          </cell>
          <cell r="FE89">
            <v>-21.476888888888883</v>
          </cell>
          <cell r="FF89">
            <v>-22.25066666666666</v>
          </cell>
          <cell r="FG89">
            <v>-23.024444444444438</v>
          </cell>
          <cell r="FH89">
            <v>-23.798222222222215</v>
          </cell>
          <cell r="FI89">
            <v>-24.571999999999992</v>
          </cell>
          <cell r="FJ89">
            <v>-25.345777777777769</v>
          </cell>
          <cell r="FK89">
            <v>-26.119555555555547</v>
          </cell>
          <cell r="FL89">
            <v>-26.893333333333324</v>
          </cell>
          <cell r="FM89">
            <v>-27.667111111111101</v>
          </cell>
          <cell r="FN89">
            <v>-28.440888888888878</v>
          </cell>
          <cell r="FO89">
            <v>-29.214666666666655</v>
          </cell>
          <cell r="FP89">
            <v>-29.988444444444433</v>
          </cell>
          <cell r="FQ89">
            <v>-30.76222222222221</v>
          </cell>
          <cell r="FR89">
            <v>-31.535999999999987</v>
          </cell>
          <cell r="FS89">
            <v>-32.309777777777768</v>
          </cell>
          <cell r="FT89">
            <v>-33.083555555555549</v>
          </cell>
          <cell r="FU89">
            <v>-33.85733333333333</v>
          </cell>
          <cell r="FV89">
            <v>-34.63111111111111</v>
          </cell>
          <cell r="FW89">
            <v>-35.404888888888891</v>
          </cell>
          <cell r="FX89">
            <v>-36.178666666666672</v>
          </cell>
          <cell r="FY89">
            <v>-36.952444444444453</v>
          </cell>
          <cell r="FZ89">
            <v>-37.726222222222233</v>
          </cell>
          <cell r="GA89">
            <v>-38.5</v>
          </cell>
        </row>
        <row r="90">
          <cell r="B90" t="str">
            <v>k3</v>
          </cell>
          <cell r="C90">
            <v>2.93</v>
          </cell>
          <cell r="D90">
            <v>2.8908888888888891</v>
          </cell>
          <cell r="E90">
            <v>2.851777777777778</v>
          </cell>
          <cell r="F90">
            <v>2.8126666666666669</v>
          </cell>
          <cell r="G90">
            <v>2.7735555555555558</v>
          </cell>
          <cell r="H90">
            <v>2.7344444444444447</v>
          </cell>
          <cell r="I90">
            <v>2.6953333333333336</v>
          </cell>
          <cell r="J90">
            <v>2.6562222222222225</v>
          </cell>
          <cell r="K90">
            <v>2.6171111111111114</v>
          </cell>
          <cell r="L90">
            <v>2.5780000000000003</v>
          </cell>
          <cell r="M90">
            <v>2.5388888888888892</v>
          </cell>
          <cell r="N90">
            <v>2.4997777777777781</v>
          </cell>
          <cell r="O90">
            <v>2.460666666666667</v>
          </cell>
          <cell r="P90">
            <v>2.4215555555555559</v>
          </cell>
          <cell r="Q90">
            <v>2.3824444444444448</v>
          </cell>
          <cell r="R90">
            <v>2.3433333333333337</v>
          </cell>
          <cell r="S90">
            <v>2.3042222222222226</v>
          </cell>
          <cell r="T90">
            <v>2.2651111111111115</v>
          </cell>
          <cell r="U90">
            <v>2.2260000000000004</v>
          </cell>
          <cell r="V90">
            <v>2.1868888888888893</v>
          </cell>
          <cell r="W90">
            <v>2.1477777777777782</v>
          </cell>
          <cell r="X90">
            <v>2.1086666666666671</v>
          </cell>
          <cell r="Y90">
            <v>2.069555555555556</v>
          </cell>
          <cell r="Z90">
            <v>2.0304444444444449</v>
          </cell>
          <cell r="AA90">
            <v>1.9913333333333338</v>
          </cell>
          <cell r="AB90">
            <v>1.9522222222222227</v>
          </cell>
          <cell r="AC90">
            <v>1.9131111111111117</v>
          </cell>
          <cell r="AD90">
            <v>1.8740000000000006</v>
          </cell>
          <cell r="AE90">
            <v>1.8348888888888895</v>
          </cell>
          <cell r="AF90">
            <v>1.7957777777777784</v>
          </cell>
          <cell r="AG90">
            <v>1.7566666666666673</v>
          </cell>
          <cell r="AH90">
            <v>1.7175555555555562</v>
          </cell>
          <cell r="AI90">
            <v>1.6784444444444451</v>
          </cell>
          <cell r="AJ90">
            <v>1.639333333333334</v>
          </cell>
          <cell r="AK90">
            <v>1.6002222222222229</v>
          </cell>
          <cell r="AL90">
            <v>1.5611111111111118</v>
          </cell>
          <cell r="AM90">
            <v>1.5220000000000007</v>
          </cell>
          <cell r="AN90">
            <v>1.4828888888888896</v>
          </cell>
          <cell r="AO90">
            <v>1.4437777777777785</v>
          </cell>
          <cell r="AP90">
            <v>1.4046666666666674</v>
          </cell>
          <cell r="AQ90">
            <v>1.3655555555555563</v>
          </cell>
          <cell r="AR90">
            <v>1.3264444444444452</v>
          </cell>
          <cell r="AS90">
            <v>1.2873333333333341</v>
          </cell>
          <cell r="AT90">
            <v>1.248222222222223</v>
          </cell>
          <cell r="AU90">
            <v>1.2091111111111119</v>
          </cell>
          <cell r="AV90">
            <v>1.17</v>
          </cell>
          <cell r="AW90">
            <v>1.1677777777777778</v>
          </cell>
          <cell r="AX90">
            <v>1.1655555555555557</v>
          </cell>
          <cell r="AY90">
            <v>1.1633333333333336</v>
          </cell>
          <cell r="AZ90">
            <v>1.1611111111111114</v>
          </cell>
          <cell r="BA90">
            <v>1.1588888888888893</v>
          </cell>
          <cell r="BB90">
            <v>1.1566666666666672</v>
          </cell>
          <cell r="BC90">
            <v>1.1544444444444451</v>
          </cell>
          <cell r="BD90">
            <v>1.1522222222222229</v>
          </cell>
          <cell r="BE90">
            <v>1.1500000000000008</v>
          </cell>
          <cell r="BF90">
            <v>1.1477777777777787</v>
          </cell>
          <cell r="BG90">
            <v>1.1455555555555565</v>
          </cell>
          <cell r="BH90">
            <v>1.1433333333333344</v>
          </cell>
          <cell r="BI90">
            <v>1.1411111111111123</v>
          </cell>
          <cell r="BJ90">
            <v>1.1388888888888902</v>
          </cell>
          <cell r="BK90">
            <v>1.136666666666668</v>
          </cell>
          <cell r="BL90">
            <v>1.1344444444444459</v>
          </cell>
          <cell r="BM90">
            <v>1.1322222222222238</v>
          </cell>
          <cell r="BN90">
            <v>1.1300000000000017</v>
          </cell>
          <cell r="BO90">
            <v>1.1277777777777795</v>
          </cell>
          <cell r="BP90">
            <v>1.1255555555555574</v>
          </cell>
          <cell r="BQ90">
            <v>1.1233333333333353</v>
          </cell>
          <cell r="BR90">
            <v>1.1211111111111132</v>
          </cell>
          <cell r="BS90">
            <v>1.118888888888891</v>
          </cell>
          <cell r="BT90">
            <v>1.1166666666666689</v>
          </cell>
          <cell r="BU90">
            <v>1.1144444444444468</v>
          </cell>
          <cell r="BV90">
            <v>1.1122222222222247</v>
          </cell>
          <cell r="BW90">
            <v>1.1100000000000025</v>
          </cell>
          <cell r="BX90">
            <v>1.1077777777777804</v>
          </cell>
          <cell r="BY90">
            <v>1.1055555555555583</v>
          </cell>
          <cell r="BZ90">
            <v>1.1033333333333362</v>
          </cell>
          <cell r="CA90">
            <v>1.101111111111114</v>
          </cell>
          <cell r="CB90">
            <v>1.0988888888888919</v>
          </cell>
          <cell r="CC90">
            <v>1.0966666666666698</v>
          </cell>
          <cell r="CD90">
            <v>1.0944444444444477</v>
          </cell>
          <cell r="CE90">
            <v>1.0922222222222255</v>
          </cell>
          <cell r="CF90">
            <v>1.0900000000000034</v>
          </cell>
          <cell r="CG90">
            <v>1.0877777777777813</v>
          </cell>
          <cell r="CH90">
            <v>1.0855555555555592</v>
          </cell>
          <cell r="CI90">
            <v>1.083333333333337</v>
          </cell>
          <cell r="CJ90">
            <v>1.0811111111111149</v>
          </cell>
          <cell r="CK90">
            <v>1.0788888888888928</v>
          </cell>
          <cell r="CL90">
            <v>1.0766666666666707</v>
          </cell>
          <cell r="CM90">
            <v>1.0744444444444485</v>
          </cell>
          <cell r="CN90">
            <v>1.0722222222222264</v>
          </cell>
          <cell r="CO90">
            <v>1.07</v>
          </cell>
          <cell r="CP90">
            <v>1.112888888888889</v>
          </cell>
          <cell r="CQ90">
            <v>1.155777777777778</v>
          </cell>
          <cell r="CR90">
            <v>1.198666666666667</v>
          </cell>
          <cell r="CS90">
            <v>1.241555555555556</v>
          </cell>
          <cell r="CT90">
            <v>1.2844444444444449</v>
          </cell>
          <cell r="CU90">
            <v>1.3273333333333339</v>
          </cell>
          <cell r="CV90">
            <v>1.3702222222222229</v>
          </cell>
          <cell r="CW90">
            <v>1.4131111111111119</v>
          </cell>
          <cell r="CX90">
            <v>1.4560000000000008</v>
          </cell>
          <cell r="CY90">
            <v>1.4988888888888898</v>
          </cell>
          <cell r="CZ90">
            <v>1.5417777777777788</v>
          </cell>
          <cell r="DA90">
            <v>1.5846666666666678</v>
          </cell>
          <cell r="DB90">
            <v>1.6275555555555568</v>
          </cell>
          <cell r="DC90">
            <v>1.6704444444444457</v>
          </cell>
          <cell r="DD90">
            <v>1.7133333333333347</v>
          </cell>
          <cell r="DE90">
            <v>1.7562222222222237</v>
          </cell>
          <cell r="DF90">
            <v>1.7991111111111127</v>
          </cell>
          <cell r="DG90">
            <v>1.8420000000000016</v>
          </cell>
          <cell r="DH90">
            <v>1.8848888888888906</v>
          </cell>
          <cell r="DI90">
            <v>1.9277777777777796</v>
          </cell>
          <cell r="DJ90">
            <v>1.9706666666666686</v>
          </cell>
          <cell r="DK90">
            <v>2.0135555555555573</v>
          </cell>
          <cell r="DL90">
            <v>2.0564444444444461</v>
          </cell>
          <cell r="DM90">
            <v>2.0993333333333348</v>
          </cell>
          <cell r="DN90">
            <v>2.1422222222222236</v>
          </cell>
          <cell r="DO90">
            <v>2.1851111111111123</v>
          </cell>
          <cell r="DP90">
            <v>2.2280000000000011</v>
          </cell>
          <cell r="DQ90">
            <v>2.2708888888888898</v>
          </cell>
          <cell r="DR90">
            <v>2.3137777777777786</v>
          </cell>
          <cell r="DS90">
            <v>2.3566666666666674</v>
          </cell>
          <cell r="DT90">
            <v>2.3995555555555561</v>
          </cell>
          <cell r="DU90">
            <v>2.4424444444444449</v>
          </cell>
          <cell r="DV90">
            <v>2.4853333333333336</v>
          </cell>
          <cell r="DW90">
            <v>2.5282222222222224</v>
          </cell>
          <cell r="DX90">
            <v>2.5711111111111111</v>
          </cell>
          <cell r="DY90">
            <v>2.6139999999999999</v>
          </cell>
          <cell r="DZ90">
            <v>2.6568888888888886</v>
          </cell>
          <cell r="EA90">
            <v>2.6997777777777774</v>
          </cell>
          <cell r="EB90">
            <v>2.7426666666666661</v>
          </cell>
          <cell r="EC90">
            <v>2.7855555555555549</v>
          </cell>
          <cell r="ED90">
            <v>2.8284444444444437</v>
          </cell>
          <cell r="EE90">
            <v>2.8713333333333324</v>
          </cell>
          <cell r="EF90">
            <v>2.9142222222222212</v>
          </cell>
          <cell r="EG90">
            <v>2.9571111111111099</v>
          </cell>
          <cell r="EH90">
            <v>3</v>
          </cell>
          <cell r="EI90">
            <v>3.2622222222222224</v>
          </cell>
          <cell r="EJ90">
            <v>3.5244444444444447</v>
          </cell>
          <cell r="EK90">
            <v>3.7866666666666671</v>
          </cell>
          <cell r="EL90">
            <v>4.0488888888888894</v>
          </cell>
          <cell r="EM90">
            <v>4.3111111111111118</v>
          </cell>
          <cell r="EN90">
            <v>4.5733333333333341</v>
          </cell>
          <cell r="EO90">
            <v>4.8355555555555565</v>
          </cell>
          <cell r="EP90">
            <v>5.0977777777777789</v>
          </cell>
          <cell r="EQ90">
            <v>5.3600000000000012</v>
          </cell>
          <cell r="ER90">
            <v>5.6222222222222236</v>
          </cell>
          <cell r="ES90">
            <v>5.8844444444444459</v>
          </cell>
          <cell r="ET90">
            <v>6.1466666666666683</v>
          </cell>
          <cell r="EU90">
            <v>6.4088888888888906</v>
          </cell>
          <cell r="EV90">
            <v>6.671111111111113</v>
          </cell>
          <cell r="EW90">
            <v>6.9333333333333353</v>
          </cell>
          <cell r="EX90">
            <v>7.1955555555555577</v>
          </cell>
          <cell r="EY90">
            <v>7.4577777777777801</v>
          </cell>
          <cell r="EZ90">
            <v>7.7200000000000024</v>
          </cell>
          <cell r="FA90">
            <v>7.9822222222222248</v>
          </cell>
          <cell r="FB90">
            <v>8.2444444444444471</v>
          </cell>
          <cell r="FC90">
            <v>8.5066666666666695</v>
          </cell>
          <cell r="FD90">
            <v>8.7688888888888918</v>
          </cell>
          <cell r="FE90">
            <v>9.0311111111111142</v>
          </cell>
          <cell r="FF90">
            <v>9.2933333333333366</v>
          </cell>
          <cell r="FG90">
            <v>9.5555555555555589</v>
          </cell>
          <cell r="FH90">
            <v>9.8177777777777813</v>
          </cell>
          <cell r="FI90">
            <v>10.080000000000004</v>
          </cell>
          <cell r="FJ90">
            <v>10.342222222222226</v>
          </cell>
          <cell r="FK90">
            <v>10.604444444444448</v>
          </cell>
          <cell r="FL90">
            <v>10.866666666666671</v>
          </cell>
          <cell r="FM90">
            <v>11.128888888888893</v>
          </cell>
          <cell r="FN90">
            <v>11.391111111111115</v>
          </cell>
          <cell r="FO90">
            <v>11.653333333333338</v>
          </cell>
          <cell r="FP90">
            <v>11.91555555555556</v>
          </cell>
          <cell r="FQ90">
            <v>12.177777777777782</v>
          </cell>
          <cell r="FR90">
            <v>12.440000000000005</v>
          </cell>
          <cell r="FS90">
            <v>12.702222222222227</v>
          </cell>
          <cell r="FT90">
            <v>12.96444444444445</v>
          </cell>
          <cell r="FU90">
            <v>13.226666666666672</v>
          </cell>
          <cell r="FV90">
            <v>13.488888888888894</v>
          </cell>
          <cell r="FW90">
            <v>13.751111111111117</v>
          </cell>
          <cell r="FX90">
            <v>14.013333333333339</v>
          </cell>
          <cell r="FY90">
            <v>14.275555555555561</v>
          </cell>
          <cell r="FZ90">
            <v>14.537777777777784</v>
          </cell>
          <cell r="GA90">
            <v>14.8</v>
          </cell>
        </row>
        <row r="91">
          <cell r="B91" t="str">
            <v>k4</v>
          </cell>
          <cell r="C91">
            <v>3.63</v>
          </cell>
          <cell r="D91">
            <v>3.6753333333333331</v>
          </cell>
          <cell r="E91">
            <v>3.7206666666666663</v>
          </cell>
          <cell r="F91">
            <v>3.7659999999999996</v>
          </cell>
          <cell r="G91">
            <v>3.8113333333333328</v>
          </cell>
          <cell r="H91">
            <v>3.856666666666666</v>
          </cell>
          <cell r="I91">
            <v>3.9019999999999992</v>
          </cell>
          <cell r="J91">
            <v>3.9473333333333325</v>
          </cell>
          <cell r="K91">
            <v>3.9926666666666657</v>
          </cell>
          <cell r="L91">
            <v>4.0379999999999994</v>
          </cell>
          <cell r="M91">
            <v>4.083333333333333</v>
          </cell>
          <cell r="N91">
            <v>4.1286666666666667</v>
          </cell>
          <cell r="O91">
            <v>4.1740000000000004</v>
          </cell>
          <cell r="P91">
            <v>4.219333333333334</v>
          </cell>
          <cell r="Q91">
            <v>4.2646666666666677</v>
          </cell>
          <cell r="R91">
            <v>4.3100000000000014</v>
          </cell>
          <cell r="S91">
            <v>4.3553333333333351</v>
          </cell>
          <cell r="T91">
            <v>4.4006666666666687</v>
          </cell>
          <cell r="U91">
            <v>4.4460000000000024</v>
          </cell>
          <cell r="V91">
            <v>4.4913333333333361</v>
          </cell>
          <cell r="W91">
            <v>4.5366666666666697</v>
          </cell>
          <cell r="X91">
            <v>4.5820000000000034</v>
          </cell>
          <cell r="Y91">
            <v>4.6273333333333371</v>
          </cell>
          <cell r="Z91">
            <v>4.6726666666666707</v>
          </cell>
          <cell r="AA91">
            <v>4.7180000000000044</v>
          </cell>
          <cell r="AB91">
            <v>4.7633333333333381</v>
          </cell>
          <cell r="AC91">
            <v>4.8086666666666718</v>
          </cell>
          <cell r="AD91">
            <v>4.8540000000000054</v>
          </cell>
          <cell r="AE91">
            <v>4.8993333333333391</v>
          </cell>
          <cell r="AF91">
            <v>4.9446666666666728</v>
          </cell>
          <cell r="AG91">
            <v>4.9900000000000064</v>
          </cell>
          <cell r="AH91">
            <v>5.0353333333333401</v>
          </cell>
          <cell r="AI91">
            <v>5.0806666666666738</v>
          </cell>
          <cell r="AJ91">
            <v>5.1260000000000074</v>
          </cell>
          <cell r="AK91">
            <v>5.1713333333333411</v>
          </cell>
          <cell r="AL91">
            <v>5.2166666666666748</v>
          </cell>
          <cell r="AM91">
            <v>5.2620000000000084</v>
          </cell>
          <cell r="AN91">
            <v>5.3073333333333421</v>
          </cell>
          <cell r="AO91">
            <v>5.3526666666666758</v>
          </cell>
          <cell r="AP91">
            <v>5.3980000000000095</v>
          </cell>
          <cell r="AQ91">
            <v>5.4433333333333431</v>
          </cell>
          <cell r="AR91">
            <v>5.4886666666666768</v>
          </cell>
          <cell r="AS91">
            <v>5.5340000000000105</v>
          </cell>
          <cell r="AT91">
            <v>5.5793333333333441</v>
          </cell>
          <cell r="AU91">
            <v>5.6246666666666778</v>
          </cell>
          <cell r="AV91">
            <v>5.67</v>
          </cell>
          <cell r="AW91">
            <v>5.532577777777778</v>
          </cell>
          <cell r="AX91">
            <v>5.3951555555555561</v>
          </cell>
          <cell r="AY91">
            <v>5.2577333333333343</v>
          </cell>
          <cell r="AZ91">
            <v>5.1203111111111124</v>
          </cell>
          <cell r="BA91">
            <v>4.9828888888888905</v>
          </cell>
          <cell r="BB91">
            <v>4.8454666666666686</v>
          </cell>
          <cell r="BC91">
            <v>4.7080444444444467</v>
          </cell>
          <cell r="BD91">
            <v>4.5706222222222248</v>
          </cell>
          <cell r="BE91">
            <v>4.4332000000000029</v>
          </cell>
          <cell r="BF91">
            <v>4.295777777777781</v>
          </cell>
          <cell r="BG91">
            <v>4.1583555555555591</v>
          </cell>
          <cell r="BH91">
            <v>4.0209333333333372</v>
          </cell>
          <cell r="BI91">
            <v>3.8835111111111149</v>
          </cell>
          <cell r="BJ91">
            <v>3.7460888888888926</v>
          </cell>
          <cell r="BK91">
            <v>3.6086666666666702</v>
          </cell>
          <cell r="BL91">
            <v>3.4712444444444479</v>
          </cell>
          <cell r="BM91">
            <v>3.3338222222222256</v>
          </cell>
          <cell r="BN91">
            <v>3.1964000000000032</v>
          </cell>
          <cell r="BO91">
            <v>3.0589777777777809</v>
          </cell>
          <cell r="BP91">
            <v>2.9215555555555586</v>
          </cell>
          <cell r="BQ91">
            <v>2.7841333333333362</v>
          </cell>
          <cell r="BR91">
            <v>2.6467111111111139</v>
          </cell>
          <cell r="BS91">
            <v>2.5092888888888916</v>
          </cell>
          <cell r="BT91">
            <v>2.3718666666666692</v>
          </cell>
          <cell r="BU91">
            <v>2.2344444444444469</v>
          </cell>
          <cell r="BV91">
            <v>2.0970222222222246</v>
          </cell>
          <cell r="BW91">
            <v>1.9596000000000022</v>
          </cell>
          <cell r="BX91">
            <v>1.8221777777777799</v>
          </cell>
          <cell r="BY91">
            <v>1.6847555555555576</v>
          </cell>
          <cell r="BZ91">
            <v>1.5473333333333352</v>
          </cell>
          <cell r="CA91">
            <v>1.4099111111111129</v>
          </cell>
          <cell r="CB91">
            <v>1.2724888888888906</v>
          </cell>
          <cell r="CC91">
            <v>1.1350666666666682</v>
          </cell>
          <cell r="CD91">
            <v>0.997644444444446</v>
          </cell>
          <cell r="CE91">
            <v>0.86022222222222378</v>
          </cell>
          <cell r="CF91">
            <v>0.72280000000000155</v>
          </cell>
          <cell r="CG91">
            <v>0.58537777777777933</v>
          </cell>
          <cell r="CH91">
            <v>0.44795555555555711</v>
          </cell>
          <cell r="CI91">
            <v>0.31053333333333488</v>
          </cell>
          <cell r="CJ91">
            <v>0.17311111111111266</v>
          </cell>
          <cell r="CK91">
            <v>3.5688888888890435E-2</v>
          </cell>
          <cell r="CL91">
            <v>-0.10173333333333179</v>
          </cell>
          <cell r="CM91">
            <v>-0.23915555555555401</v>
          </cell>
          <cell r="CN91">
            <v>-0.37657777777777623</v>
          </cell>
          <cell r="CO91">
            <v>-0.51400000000000001</v>
          </cell>
          <cell r="CP91">
            <v>-0.36080000000000001</v>
          </cell>
          <cell r="CQ91">
            <v>-0.20760000000000001</v>
          </cell>
          <cell r="CR91">
            <v>-5.4400000000000004E-2</v>
          </cell>
          <cell r="CS91">
            <v>9.8799999999999999E-2</v>
          </cell>
          <cell r="CT91">
            <v>0.252</v>
          </cell>
          <cell r="CU91">
            <v>0.4052</v>
          </cell>
          <cell r="CV91">
            <v>0.55840000000000001</v>
          </cell>
          <cell r="CW91">
            <v>0.71160000000000001</v>
          </cell>
          <cell r="CX91">
            <v>0.86480000000000001</v>
          </cell>
          <cell r="CY91">
            <v>1.018</v>
          </cell>
          <cell r="CZ91">
            <v>1.1712</v>
          </cell>
          <cell r="DA91">
            <v>1.3244</v>
          </cell>
          <cell r="DB91">
            <v>1.4776</v>
          </cell>
          <cell r="DC91">
            <v>1.6308</v>
          </cell>
          <cell r="DD91">
            <v>1.784</v>
          </cell>
          <cell r="DE91">
            <v>1.9372</v>
          </cell>
          <cell r="DF91">
            <v>2.0903999999999998</v>
          </cell>
          <cell r="DG91">
            <v>2.2435999999999998</v>
          </cell>
          <cell r="DH91">
            <v>2.3967999999999998</v>
          </cell>
          <cell r="DI91">
            <v>2.5499999999999998</v>
          </cell>
          <cell r="DJ91">
            <v>2.7031999999999998</v>
          </cell>
          <cell r="DK91">
            <v>2.8563999999999998</v>
          </cell>
          <cell r="DL91">
            <v>3.0095999999999998</v>
          </cell>
          <cell r="DM91">
            <v>3.1627999999999998</v>
          </cell>
          <cell r="DN91">
            <v>3.3159999999999998</v>
          </cell>
          <cell r="DO91">
            <v>3.4691999999999998</v>
          </cell>
          <cell r="DP91">
            <v>3.6223999999999998</v>
          </cell>
          <cell r="DQ91">
            <v>3.7755999999999998</v>
          </cell>
          <cell r="DR91">
            <v>3.9287999999999998</v>
          </cell>
          <cell r="DS91">
            <v>4.0819999999999999</v>
          </cell>
          <cell r="DT91">
            <v>4.2351999999999999</v>
          </cell>
          <cell r="DU91">
            <v>4.3883999999999999</v>
          </cell>
          <cell r="DV91">
            <v>4.5415999999999999</v>
          </cell>
          <cell r="DW91">
            <v>4.6947999999999999</v>
          </cell>
          <cell r="DX91">
            <v>4.8479999999999999</v>
          </cell>
          <cell r="DY91">
            <v>5.0011999999999999</v>
          </cell>
          <cell r="DZ91">
            <v>5.1543999999999999</v>
          </cell>
          <cell r="EA91">
            <v>5.3075999999999999</v>
          </cell>
          <cell r="EB91">
            <v>5.4607999999999999</v>
          </cell>
          <cell r="EC91">
            <v>5.6139999999999999</v>
          </cell>
          <cell r="ED91">
            <v>5.7671999999999999</v>
          </cell>
          <cell r="EE91">
            <v>5.9203999999999999</v>
          </cell>
          <cell r="EF91">
            <v>6.0735999999999999</v>
          </cell>
          <cell r="EG91">
            <v>6.2267999999999999</v>
          </cell>
          <cell r="EH91">
            <v>6.38</v>
          </cell>
          <cell r="EI91">
            <v>5.8715555555555552</v>
          </cell>
          <cell r="EJ91">
            <v>5.3631111111111105</v>
          </cell>
          <cell r="EK91">
            <v>4.8546666666666658</v>
          </cell>
          <cell r="EL91">
            <v>4.3462222222222211</v>
          </cell>
          <cell r="EM91">
            <v>3.8377777777777764</v>
          </cell>
          <cell r="EN91">
            <v>3.3293333333333317</v>
          </cell>
          <cell r="EO91">
            <v>2.820888888888887</v>
          </cell>
          <cell r="EP91">
            <v>2.3124444444444423</v>
          </cell>
          <cell r="EQ91">
            <v>1.8039999999999978</v>
          </cell>
          <cell r="ER91">
            <v>1.2955555555555534</v>
          </cell>
          <cell r="ES91">
            <v>0.78711111111110887</v>
          </cell>
          <cell r="ET91">
            <v>0.2786666666666644</v>
          </cell>
          <cell r="EU91">
            <v>-0.22977777777778008</v>
          </cell>
          <cell r="EV91">
            <v>-0.73822222222222456</v>
          </cell>
          <cell r="EW91">
            <v>-1.246666666666669</v>
          </cell>
          <cell r="EX91">
            <v>-1.7551111111111135</v>
          </cell>
          <cell r="EY91">
            <v>-2.2635555555555582</v>
          </cell>
          <cell r="EZ91">
            <v>-2.7720000000000029</v>
          </cell>
          <cell r="FA91">
            <v>-3.2804444444444476</v>
          </cell>
          <cell r="FB91">
            <v>-3.7888888888888923</v>
          </cell>
          <cell r="FC91">
            <v>-4.297333333333337</v>
          </cell>
          <cell r="FD91">
            <v>-4.8057777777777817</v>
          </cell>
          <cell r="FE91">
            <v>-5.3142222222222264</v>
          </cell>
          <cell r="FF91">
            <v>-5.8226666666666711</v>
          </cell>
          <cell r="FG91">
            <v>-6.3311111111111158</v>
          </cell>
          <cell r="FH91">
            <v>-6.8395555555555605</v>
          </cell>
          <cell r="FI91">
            <v>-7.3480000000000052</v>
          </cell>
          <cell r="FJ91">
            <v>-7.8564444444444499</v>
          </cell>
          <cell r="FK91">
            <v>-8.3648888888888937</v>
          </cell>
          <cell r="FL91">
            <v>-8.8733333333333384</v>
          </cell>
          <cell r="FM91">
            <v>-9.3817777777777831</v>
          </cell>
          <cell r="FN91">
            <v>-9.8902222222222278</v>
          </cell>
          <cell r="FO91">
            <v>-10.398666666666672</v>
          </cell>
          <cell r="FP91">
            <v>-10.907111111111117</v>
          </cell>
          <cell r="FQ91">
            <v>-11.415555555555562</v>
          </cell>
          <cell r="FR91">
            <v>-11.924000000000007</v>
          </cell>
          <cell r="FS91">
            <v>-12.432444444444451</v>
          </cell>
          <cell r="FT91">
            <v>-12.940888888888896</v>
          </cell>
          <cell r="FU91">
            <v>-13.449333333333341</v>
          </cell>
          <cell r="FV91">
            <v>-13.957777777777785</v>
          </cell>
          <cell r="FW91">
            <v>-14.46622222222223</v>
          </cell>
          <cell r="FX91">
            <v>-14.974666666666675</v>
          </cell>
          <cell r="FY91">
            <v>-15.483111111111119</v>
          </cell>
          <cell r="FZ91">
            <v>-15.991555555555564</v>
          </cell>
          <cell r="GA91">
            <v>-16.5</v>
          </cell>
        </row>
        <row r="92">
          <cell r="B92" t="str">
            <v>k5</v>
          </cell>
          <cell r="C92">
            <v>-0.374</v>
          </cell>
          <cell r="D92">
            <v>-0.44435555555555556</v>
          </cell>
          <cell r="E92">
            <v>-0.51471111111111112</v>
          </cell>
          <cell r="F92">
            <v>-0.58506666666666662</v>
          </cell>
          <cell r="G92">
            <v>-0.65542222222222213</v>
          </cell>
          <cell r="H92">
            <v>-0.72577777777777763</v>
          </cell>
          <cell r="I92">
            <v>-0.79613333333333314</v>
          </cell>
          <cell r="J92">
            <v>-0.86648888888888864</v>
          </cell>
          <cell r="K92">
            <v>-0.93684444444444415</v>
          </cell>
          <cell r="L92">
            <v>-1.0071999999999997</v>
          </cell>
          <cell r="M92">
            <v>-1.0775555555555552</v>
          </cell>
          <cell r="N92">
            <v>-1.1479111111111107</v>
          </cell>
          <cell r="O92">
            <v>-1.2182666666666662</v>
          </cell>
          <cell r="P92">
            <v>-1.2886222222222217</v>
          </cell>
          <cell r="Q92">
            <v>-1.3589777777777772</v>
          </cell>
          <cell r="R92">
            <v>-1.4293333333333327</v>
          </cell>
          <cell r="S92">
            <v>-1.4996888888888882</v>
          </cell>
          <cell r="T92">
            <v>-1.5700444444444437</v>
          </cell>
          <cell r="U92">
            <v>-1.6403999999999992</v>
          </cell>
          <cell r="V92">
            <v>-1.7107555555555547</v>
          </cell>
          <cell r="W92">
            <v>-1.7811111111111102</v>
          </cell>
          <cell r="X92">
            <v>-1.8514666666666657</v>
          </cell>
          <cell r="Y92">
            <v>-1.9218222222222212</v>
          </cell>
          <cell r="Z92">
            <v>-1.9921777777777767</v>
          </cell>
          <cell r="AA92">
            <v>-2.0625333333333322</v>
          </cell>
          <cell r="AB92">
            <v>-2.1328888888888877</v>
          </cell>
          <cell r="AC92">
            <v>-2.2032444444444432</v>
          </cell>
          <cell r="AD92">
            <v>-2.2735999999999987</v>
          </cell>
          <cell r="AE92">
            <v>-2.3439555555555542</v>
          </cell>
          <cell r="AF92">
            <v>-2.4143111111111097</v>
          </cell>
          <cell r="AG92">
            <v>-2.4846666666666652</v>
          </cell>
          <cell r="AH92">
            <v>-2.5550222222222208</v>
          </cell>
          <cell r="AI92">
            <v>-2.6253777777777763</v>
          </cell>
          <cell r="AJ92">
            <v>-2.6957333333333318</v>
          </cell>
          <cell r="AK92">
            <v>-2.7660888888888873</v>
          </cell>
          <cell r="AL92">
            <v>-2.8364444444444428</v>
          </cell>
          <cell r="AM92">
            <v>-2.9067999999999983</v>
          </cell>
          <cell r="AN92">
            <v>-2.9771555555555538</v>
          </cell>
          <cell r="AO92">
            <v>-3.0475111111111093</v>
          </cell>
          <cell r="AP92">
            <v>-3.1178666666666648</v>
          </cell>
          <cell r="AQ92">
            <v>-3.1882222222222203</v>
          </cell>
          <cell r="AR92">
            <v>-3.2585777777777758</v>
          </cell>
          <cell r="AS92">
            <v>-3.3289333333333313</v>
          </cell>
          <cell r="AT92">
            <v>-3.3992888888888868</v>
          </cell>
          <cell r="AU92">
            <v>-3.4696444444444423</v>
          </cell>
          <cell r="AV92">
            <v>-3.54</v>
          </cell>
          <cell r="AW92">
            <v>-3.4193333333333333</v>
          </cell>
          <cell r="AX92">
            <v>-3.2986666666666666</v>
          </cell>
          <cell r="AY92">
            <v>-3.1779999999999999</v>
          </cell>
          <cell r="AZ92">
            <v>-3.0573333333333332</v>
          </cell>
          <cell r="BA92">
            <v>-2.9366666666666665</v>
          </cell>
          <cell r="BB92">
            <v>-2.8159999999999998</v>
          </cell>
          <cell r="BC92">
            <v>-2.6953333333333331</v>
          </cell>
          <cell r="BD92">
            <v>-2.5746666666666664</v>
          </cell>
          <cell r="BE92">
            <v>-2.4539999999999997</v>
          </cell>
          <cell r="BF92">
            <v>-2.333333333333333</v>
          </cell>
          <cell r="BG92">
            <v>-2.2126666666666663</v>
          </cell>
          <cell r="BH92">
            <v>-2.0919999999999996</v>
          </cell>
          <cell r="BI92">
            <v>-1.9713333333333329</v>
          </cell>
          <cell r="BJ92">
            <v>-1.8506666666666662</v>
          </cell>
          <cell r="BK92">
            <v>-1.7299999999999995</v>
          </cell>
          <cell r="BL92">
            <v>-1.6093333333333328</v>
          </cell>
          <cell r="BM92">
            <v>-1.4886666666666661</v>
          </cell>
          <cell r="BN92">
            <v>-1.3679999999999994</v>
          </cell>
          <cell r="BO92">
            <v>-1.2473333333333327</v>
          </cell>
          <cell r="BP92">
            <v>-1.126666666666666</v>
          </cell>
          <cell r="BQ92">
            <v>-1.0059999999999993</v>
          </cell>
          <cell r="BR92">
            <v>-0.88533333333333264</v>
          </cell>
          <cell r="BS92">
            <v>-0.76466666666666594</v>
          </cell>
          <cell r="BT92">
            <v>-0.64399999999999924</v>
          </cell>
          <cell r="BU92">
            <v>-0.52333333333333254</v>
          </cell>
          <cell r="BV92">
            <v>-0.4026666666666659</v>
          </cell>
          <cell r="BW92">
            <v>-0.28199999999999925</v>
          </cell>
          <cell r="BX92">
            <v>-0.16133333333333261</v>
          </cell>
          <cell r="BY92">
            <v>-4.0666666666665949E-2</v>
          </cell>
          <cell r="BZ92">
            <v>8.0000000000000709E-2</v>
          </cell>
          <cell r="CA92">
            <v>0.20066666666666738</v>
          </cell>
          <cell r="CB92">
            <v>0.32133333333333403</v>
          </cell>
          <cell r="CC92">
            <v>0.44200000000000067</v>
          </cell>
          <cell r="CD92">
            <v>0.56266666666666731</v>
          </cell>
          <cell r="CE92">
            <v>0.68333333333333401</v>
          </cell>
          <cell r="CF92">
            <v>0.80400000000000071</v>
          </cell>
          <cell r="CG92">
            <v>0.92466666666666741</v>
          </cell>
          <cell r="CH92">
            <v>1.0453333333333341</v>
          </cell>
          <cell r="CI92">
            <v>1.1660000000000008</v>
          </cell>
          <cell r="CJ92">
            <v>1.2866666666666675</v>
          </cell>
          <cell r="CK92">
            <v>1.4073333333333342</v>
          </cell>
          <cell r="CL92">
            <v>1.5280000000000009</v>
          </cell>
          <cell r="CM92">
            <v>1.6486666666666676</v>
          </cell>
          <cell r="CN92">
            <v>1.7693333333333343</v>
          </cell>
          <cell r="CO92">
            <v>1.89</v>
          </cell>
          <cell r="CP92">
            <v>1.7473333333333332</v>
          </cell>
          <cell r="CQ92">
            <v>1.6046666666666665</v>
          </cell>
          <cell r="CR92">
            <v>1.4619999999999997</v>
          </cell>
          <cell r="CS92">
            <v>1.319333333333333</v>
          </cell>
          <cell r="CT92">
            <v>1.1766666666666663</v>
          </cell>
          <cell r="CU92">
            <v>1.0339999999999996</v>
          </cell>
          <cell r="CV92">
            <v>0.89133333333333287</v>
          </cell>
          <cell r="CW92">
            <v>0.74866666666666615</v>
          </cell>
          <cell r="CX92">
            <v>0.60599999999999943</v>
          </cell>
          <cell r="CY92">
            <v>0.46333333333333276</v>
          </cell>
          <cell r="CZ92">
            <v>0.3206666666666661</v>
          </cell>
          <cell r="DA92">
            <v>0.17799999999999944</v>
          </cell>
          <cell r="DB92">
            <v>3.5333333333332773E-2</v>
          </cell>
          <cell r="DC92">
            <v>-0.10733333333333389</v>
          </cell>
          <cell r="DD92">
            <v>-0.25000000000000056</v>
          </cell>
          <cell r="DE92">
            <v>-0.39266666666666722</v>
          </cell>
          <cell r="DF92">
            <v>-0.53533333333333388</v>
          </cell>
          <cell r="DG92">
            <v>-0.6780000000000006</v>
          </cell>
          <cell r="DH92">
            <v>-0.82066666666666732</v>
          </cell>
          <cell r="DI92">
            <v>-0.96333333333333404</v>
          </cell>
          <cell r="DJ92">
            <v>-1.1060000000000008</v>
          </cell>
          <cell r="DK92">
            <v>-1.2486666666666675</v>
          </cell>
          <cell r="DL92">
            <v>-1.3913333333333342</v>
          </cell>
          <cell r="DM92">
            <v>-1.5340000000000009</v>
          </cell>
          <cell r="DN92">
            <v>-1.6766666666666676</v>
          </cell>
          <cell r="DO92">
            <v>-1.8193333333333344</v>
          </cell>
          <cell r="DP92">
            <v>-1.9620000000000011</v>
          </cell>
          <cell r="DQ92">
            <v>-2.1046666666666676</v>
          </cell>
          <cell r="DR92">
            <v>-2.2473333333333341</v>
          </cell>
          <cell r="DS92">
            <v>-2.3900000000000006</v>
          </cell>
          <cell r="DT92">
            <v>-2.5326666666666671</v>
          </cell>
          <cell r="DU92">
            <v>-2.6753333333333336</v>
          </cell>
          <cell r="DV92">
            <v>-2.8180000000000001</v>
          </cell>
          <cell r="DW92">
            <v>-2.9606666666666666</v>
          </cell>
          <cell r="DX92">
            <v>-3.1033333333333331</v>
          </cell>
          <cell r="DY92">
            <v>-3.2459999999999996</v>
          </cell>
          <cell r="DZ92">
            <v>-3.388666666666666</v>
          </cell>
          <cell r="EA92">
            <v>-3.5313333333333325</v>
          </cell>
          <cell r="EB92">
            <v>-3.673999999999999</v>
          </cell>
          <cell r="EC92">
            <v>-3.8166666666666655</v>
          </cell>
          <cell r="ED92">
            <v>-3.959333333333332</v>
          </cell>
          <cell r="EE92">
            <v>-4.1019999999999985</v>
          </cell>
          <cell r="EF92">
            <v>-4.2446666666666655</v>
          </cell>
          <cell r="EG92">
            <v>-4.3873333333333324</v>
          </cell>
          <cell r="EH92">
            <v>-4.53</v>
          </cell>
          <cell r="EI92">
            <v>-3.8226666666666667</v>
          </cell>
          <cell r="EJ92">
            <v>-3.1153333333333331</v>
          </cell>
          <cell r="EK92">
            <v>-2.4079999999999995</v>
          </cell>
          <cell r="EL92">
            <v>-1.7006666666666661</v>
          </cell>
          <cell r="EM92">
            <v>-0.99333333333333274</v>
          </cell>
          <cell r="EN92">
            <v>-0.28599999999999937</v>
          </cell>
          <cell r="EO92">
            <v>0.421333333333334</v>
          </cell>
          <cell r="EP92">
            <v>1.1286666666666674</v>
          </cell>
          <cell r="EQ92">
            <v>1.8360000000000007</v>
          </cell>
          <cell r="ER92">
            <v>2.5433333333333339</v>
          </cell>
          <cell r="ES92">
            <v>3.2506666666666675</v>
          </cell>
          <cell r="ET92">
            <v>3.9580000000000011</v>
          </cell>
          <cell r="EU92">
            <v>4.6653333333333347</v>
          </cell>
          <cell r="EV92">
            <v>5.3726666666666683</v>
          </cell>
          <cell r="EW92">
            <v>6.0800000000000018</v>
          </cell>
          <cell r="EX92">
            <v>6.7873333333333354</v>
          </cell>
          <cell r="EY92">
            <v>7.494666666666669</v>
          </cell>
          <cell r="EZ92">
            <v>8.2020000000000017</v>
          </cell>
          <cell r="FA92">
            <v>8.9093333333333344</v>
          </cell>
          <cell r="FB92">
            <v>9.6166666666666671</v>
          </cell>
          <cell r="FC92">
            <v>10.324</v>
          </cell>
          <cell r="FD92">
            <v>11.031333333333333</v>
          </cell>
          <cell r="FE92">
            <v>11.738666666666665</v>
          </cell>
          <cell r="FF92">
            <v>12.445999999999998</v>
          </cell>
          <cell r="FG92">
            <v>13.153333333333331</v>
          </cell>
          <cell r="FH92">
            <v>13.860666666666663</v>
          </cell>
          <cell r="FI92">
            <v>14.567999999999996</v>
          </cell>
          <cell r="FJ92">
            <v>15.275333333333329</v>
          </cell>
          <cell r="FK92">
            <v>15.982666666666661</v>
          </cell>
          <cell r="FL92">
            <v>16.689999999999994</v>
          </cell>
          <cell r="FM92">
            <v>17.397333333333329</v>
          </cell>
          <cell r="FN92">
            <v>18.104666666666663</v>
          </cell>
          <cell r="FO92">
            <v>18.811999999999998</v>
          </cell>
          <cell r="FP92">
            <v>19.519333333333332</v>
          </cell>
          <cell r="FQ92">
            <v>20.226666666666667</v>
          </cell>
          <cell r="FR92">
            <v>20.934000000000001</v>
          </cell>
          <cell r="FS92">
            <v>21.641333333333336</v>
          </cell>
          <cell r="FT92">
            <v>22.34866666666667</v>
          </cell>
          <cell r="FU92">
            <v>23.056000000000004</v>
          </cell>
          <cell r="FV92">
            <v>23.763333333333339</v>
          </cell>
          <cell r="FW92">
            <v>24.470666666666673</v>
          </cell>
          <cell r="FX92">
            <v>25.178000000000008</v>
          </cell>
          <cell r="FY92">
            <v>25.885333333333342</v>
          </cell>
          <cell r="FZ92">
            <v>26.592666666666677</v>
          </cell>
          <cell r="GA92">
            <v>27.3</v>
          </cell>
        </row>
        <row r="93">
          <cell r="B93" t="str">
            <v>k6</v>
          </cell>
          <cell r="C93">
            <v>-7.4</v>
          </cell>
          <cell r="D93">
            <v>-7.3306666666666667</v>
          </cell>
          <cell r="E93">
            <v>-7.261333333333333</v>
          </cell>
          <cell r="F93">
            <v>-7.1919999999999993</v>
          </cell>
          <cell r="G93">
            <v>-7.1226666666666656</v>
          </cell>
          <cell r="H93">
            <v>-7.0533333333333319</v>
          </cell>
          <cell r="I93">
            <v>-6.9839999999999982</v>
          </cell>
          <cell r="J93">
            <v>-6.9146666666666645</v>
          </cell>
          <cell r="K93">
            <v>-6.8453333333333308</v>
          </cell>
          <cell r="L93">
            <v>-6.7759999999999971</v>
          </cell>
          <cell r="M93">
            <v>-6.7066666666666634</v>
          </cell>
          <cell r="N93">
            <v>-6.6373333333333298</v>
          </cell>
          <cell r="O93">
            <v>-6.5679999999999961</v>
          </cell>
          <cell r="P93">
            <v>-6.4986666666666624</v>
          </cell>
          <cell r="Q93">
            <v>-6.4293333333333287</v>
          </cell>
          <cell r="R93">
            <v>-6.359999999999995</v>
          </cell>
          <cell r="S93">
            <v>-6.2906666666666613</v>
          </cell>
          <cell r="T93">
            <v>-6.2213333333333276</v>
          </cell>
          <cell r="U93">
            <v>-6.1519999999999939</v>
          </cell>
          <cell r="V93">
            <v>-6.0826666666666602</v>
          </cell>
          <cell r="W93">
            <v>-6.0133333333333265</v>
          </cell>
          <cell r="X93">
            <v>-5.9439999999999928</v>
          </cell>
          <cell r="Y93">
            <v>-5.8746666666666592</v>
          </cell>
          <cell r="Z93">
            <v>-5.8053333333333255</v>
          </cell>
          <cell r="AA93">
            <v>-5.7359999999999918</v>
          </cell>
          <cell r="AB93">
            <v>-5.6666666666666581</v>
          </cell>
          <cell r="AC93">
            <v>-5.5973333333333244</v>
          </cell>
          <cell r="AD93">
            <v>-5.5279999999999907</v>
          </cell>
          <cell r="AE93">
            <v>-5.458666666666657</v>
          </cell>
          <cell r="AF93">
            <v>-5.3893333333333233</v>
          </cell>
          <cell r="AG93">
            <v>-5.3199999999999896</v>
          </cell>
          <cell r="AH93">
            <v>-5.2506666666666559</v>
          </cell>
          <cell r="AI93">
            <v>-5.1813333333333222</v>
          </cell>
          <cell r="AJ93">
            <v>-5.1119999999999886</v>
          </cell>
          <cell r="AK93">
            <v>-5.0426666666666549</v>
          </cell>
          <cell r="AL93">
            <v>-4.9733333333333212</v>
          </cell>
          <cell r="AM93">
            <v>-4.9039999999999875</v>
          </cell>
          <cell r="AN93">
            <v>-4.8346666666666538</v>
          </cell>
          <cell r="AO93">
            <v>-4.7653333333333201</v>
          </cell>
          <cell r="AP93">
            <v>-4.6959999999999864</v>
          </cell>
          <cell r="AQ93">
            <v>-4.6266666666666527</v>
          </cell>
          <cell r="AR93">
            <v>-4.557333333333319</v>
          </cell>
          <cell r="AS93">
            <v>-4.4879999999999853</v>
          </cell>
          <cell r="AT93">
            <v>-4.4186666666666516</v>
          </cell>
          <cell r="AU93">
            <v>-4.349333333333318</v>
          </cell>
          <cell r="AV93">
            <v>-4.28</v>
          </cell>
          <cell r="AW93">
            <v>-4.2213333333333338</v>
          </cell>
          <cell r="AX93">
            <v>-4.1626666666666674</v>
          </cell>
          <cell r="AY93">
            <v>-4.104000000000001</v>
          </cell>
          <cell r="AZ93">
            <v>-4.0453333333333346</v>
          </cell>
          <cell r="BA93">
            <v>-3.9866666666666677</v>
          </cell>
          <cell r="BB93">
            <v>-3.9280000000000008</v>
          </cell>
          <cell r="BC93">
            <v>-3.869333333333334</v>
          </cell>
          <cell r="BD93">
            <v>-3.8106666666666671</v>
          </cell>
          <cell r="BE93">
            <v>-3.7520000000000002</v>
          </cell>
          <cell r="BF93">
            <v>-3.6933333333333334</v>
          </cell>
          <cell r="BG93">
            <v>-3.6346666666666665</v>
          </cell>
          <cell r="BH93">
            <v>-3.5759999999999996</v>
          </cell>
          <cell r="BI93">
            <v>-3.5173333333333328</v>
          </cell>
          <cell r="BJ93">
            <v>-3.4586666666666659</v>
          </cell>
          <cell r="BK93">
            <v>-3.399999999999999</v>
          </cell>
          <cell r="BL93">
            <v>-3.3413333333333322</v>
          </cell>
          <cell r="BM93">
            <v>-3.2826666666666653</v>
          </cell>
          <cell r="BN93">
            <v>-3.2239999999999984</v>
          </cell>
          <cell r="BO93">
            <v>-3.1653333333333316</v>
          </cell>
          <cell r="BP93">
            <v>-3.1066666666666647</v>
          </cell>
          <cell r="BQ93">
            <v>-3.0479999999999978</v>
          </cell>
          <cell r="BR93">
            <v>-2.989333333333331</v>
          </cell>
          <cell r="BS93">
            <v>-2.9306666666666641</v>
          </cell>
          <cell r="BT93">
            <v>-2.8719999999999972</v>
          </cell>
          <cell r="BU93">
            <v>-2.8133333333333304</v>
          </cell>
          <cell r="BV93">
            <v>-2.7546666666666635</v>
          </cell>
          <cell r="BW93">
            <v>-2.6959999999999966</v>
          </cell>
          <cell r="BX93">
            <v>-2.6373333333333298</v>
          </cell>
          <cell r="BY93">
            <v>-2.5786666666666629</v>
          </cell>
          <cell r="BZ93">
            <v>-2.519999999999996</v>
          </cell>
          <cell r="CA93">
            <v>-2.4613333333333292</v>
          </cell>
          <cell r="CB93">
            <v>-2.4026666666666623</v>
          </cell>
          <cell r="CC93">
            <v>-2.3439999999999954</v>
          </cell>
          <cell r="CD93">
            <v>-2.2853333333333286</v>
          </cell>
          <cell r="CE93">
            <v>-2.2266666666666617</v>
          </cell>
          <cell r="CF93">
            <v>-2.1679999999999948</v>
          </cell>
          <cell r="CG93">
            <v>-2.109333333333328</v>
          </cell>
          <cell r="CH93">
            <v>-2.0506666666666611</v>
          </cell>
          <cell r="CI93">
            <v>-1.9919999999999944</v>
          </cell>
          <cell r="CJ93">
            <v>-1.9333333333333278</v>
          </cell>
          <cell r="CK93">
            <v>-1.8746666666666612</v>
          </cell>
          <cell r="CL93">
            <v>-1.8159999999999945</v>
          </cell>
          <cell r="CM93">
            <v>-1.7573333333333279</v>
          </cell>
          <cell r="CN93">
            <v>-1.6986666666666612</v>
          </cell>
          <cell r="CO93">
            <v>-1.64</v>
          </cell>
          <cell r="CP93">
            <v>-1.6125555555555555</v>
          </cell>
          <cell r="CQ93">
            <v>-1.5851111111111111</v>
          </cell>
          <cell r="CR93">
            <v>-1.5576666666666668</v>
          </cell>
          <cell r="CS93">
            <v>-1.5302222222222224</v>
          </cell>
          <cell r="CT93">
            <v>-1.502777777777778</v>
          </cell>
          <cell r="CU93">
            <v>-1.4753333333333336</v>
          </cell>
          <cell r="CV93">
            <v>-1.4478888888888892</v>
          </cell>
          <cell r="CW93">
            <v>-1.4204444444444448</v>
          </cell>
          <cell r="CX93">
            <v>-1.3930000000000005</v>
          </cell>
          <cell r="CY93">
            <v>-1.3655555555555561</v>
          </cell>
          <cell r="CZ93">
            <v>-1.3381111111111117</v>
          </cell>
          <cell r="DA93">
            <v>-1.3106666666666673</v>
          </cell>
          <cell r="DB93">
            <v>-1.2832222222222229</v>
          </cell>
          <cell r="DC93">
            <v>-1.2557777777777785</v>
          </cell>
          <cell r="DD93">
            <v>-1.2283333333333342</v>
          </cell>
          <cell r="DE93">
            <v>-1.2008888888888898</v>
          </cell>
          <cell r="DF93">
            <v>-1.1734444444444454</v>
          </cell>
          <cell r="DG93">
            <v>-1.146000000000001</v>
          </cell>
          <cell r="DH93">
            <v>-1.1185555555555566</v>
          </cell>
          <cell r="DI93">
            <v>-1.0911111111111123</v>
          </cell>
          <cell r="DJ93">
            <v>-1.0636666666666679</v>
          </cell>
          <cell r="DK93">
            <v>-1.0362222222222235</v>
          </cell>
          <cell r="DL93">
            <v>-1.0087777777777791</v>
          </cell>
          <cell r="DM93">
            <v>-0.98133333333333461</v>
          </cell>
          <cell r="DN93">
            <v>-0.95388888888889012</v>
          </cell>
          <cell r="DO93">
            <v>-0.92644444444444563</v>
          </cell>
          <cell r="DP93">
            <v>-0.89900000000000113</v>
          </cell>
          <cell r="DQ93">
            <v>-0.87155555555555664</v>
          </cell>
          <cell r="DR93">
            <v>-0.84411111111111214</v>
          </cell>
          <cell r="DS93">
            <v>-0.81666666666666765</v>
          </cell>
          <cell r="DT93">
            <v>-0.78922222222222316</v>
          </cell>
          <cell r="DU93">
            <v>-0.76177777777777866</v>
          </cell>
          <cell r="DV93">
            <v>-0.73433333333333417</v>
          </cell>
          <cell r="DW93">
            <v>-0.70688888888888968</v>
          </cell>
          <cell r="DX93">
            <v>-0.67944444444444518</v>
          </cell>
          <cell r="DY93">
            <v>-0.65200000000000069</v>
          </cell>
          <cell r="DZ93">
            <v>-0.6245555555555562</v>
          </cell>
          <cell r="EA93">
            <v>-0.5971111111111117</v>
          </cell>
          <cell r="EB93">
            <v>-0.56966666666666721</v>
          </cell>
          <cell r="EC93">
            <v>-0.54222222222222272</v>
          </cell>
          <cell r="ED93">
            <v>-0.51477777777777822</v>
          </cell>
          <cell r="EE93">
            <v>-0.48733333333333378</v>
          </cell>
          <cell r="EF93">
            <v>-0.45988888888888935</v>
          </cell>
          <cell r="EG93">
            <v>-0.43244444444444491</v>
          </cell>
          <cell r="EH93">
            <v>-0.40500000000000003</v>
          </cell>
          <cell r="EI93">
            <v>-0.6604444444444445</v>
          </cell>
          <cell r="EJ93">
            <v>-0.91588888888888897</v>
          </cell>
          <cell r="EK93">
            <v>-1.1713333333333336</v>
          </cell>
          <cell r="EL93">
            <v>-1.4267777777777781</v>
          </cell>
          <cell r="EM93">
            <v>-1.6822222222222227</v>
          </cell>
          <cell r="EN93">
            <v>-1.9376666666666673</v>
          </cell>
          <cell r="EO93">
            <v>-2.1931111111111119</v>
          </cell>
          <cell r="EP93">
            <v>-2.4485555555555565</v>
          </cell>
          <cell r="EQ93">
            <v>-2.7040000000000011</v>
          </cell>
          <cell r="ER93">
            <v>-2.9594444444444457</v>
          </cell>
          <cell r="ES93">
            <v>-3.2148888888888902</v>
          </cell>
          <cell r="ET93">
            <v>-3.4703333333333348</v>
          </cell>
          <cell r="EU93">
            <v>-3.7257777777777794</v>
          </cell>
          <cell r="EV93">
            <v>-3.981222222222224</v>
          </cell>
          <cell r="EW93">
            <v>-4.2366666666666681</v>
          </cell>
          <cell r="EX93">
            <v>-4.4921111111111127</v>
          </cell>
          <cell r="EY93">
            <v>-4.7475555555555573</v>
          </cell>
          <cell r="EZ93">
            <v>-5.0030000000000019</v>
          </cell>
          <cell r="FA93">
            <v>-5.2584444444444465</v>
          </cell>
          <cell r="FB93">
            <v>-5.5138888888888911</v>
          </cell>
          <cell r="FC93">
            <v>-5.7693333333333356</v>
          </cell>
          <cell r="FD93">
            <v>-6.0247777777777802</v>
          </cell>
          <cell r="FE93">
            <v>-6.2802222222222248</v>
          </cell>
          <cell r="FF93">
            <v>-6.5356666666666694</v>
          </cell>
          <cell r="FG93">
            <v>-6.791111111111114</v>
          </cell>
          <cell r="FH93">
            <v>-7.0465555555555586</v>
          </cell>
          <cell r="FI93">
            <v>-7.3020000000000032</v>
          </cell>
          <cell r="FJ93">
            <v>-7.5574444444444477</v>
          </cell>
          <cell r="FK93">
            <v>-7.8128888888888923</v>
          </cell>
          <cell r="FL93">
            <v>-8.0683333333333369</v>
          </cell>
          <cell r="FM93">
            <v>-8.3237777777777815</v>
          </cell>
          <cell r="FN93">
            <v>-8.5792222222222261</v>
          </cell>
          <cell r="FO93">
            <v>-8.8346666666666707</v>
          </cell>
          <cell r="FP93">
            <v>-9.0901111111111152</v>
          </cell>
          <cell r="FQ93">
            <v>-9.3455555555555598</v>
          </cell>
          <cell r="FR93">
            <v>-9.6010000000000044</v>
          </cell>
          <cell r="FS93">
            <v>-9.856444444444449</v>
          </cell>
          <cell r="FT93">
            <v>-10.111888888888894</v>
          </cell>
          <cell r="FU93">
            <v>-10.367333333333338</v>
          </cell>
          <cell r="FV93">
            <v>-10.622777777777783</v>
          </cell>
          <cell r="FW93">
            <v>-10.878222222222227</v>
          </cell>
          <cell r="FX93">
            <v>-11.133666666666672</v>
          </cell>
          <cell r="FY93">
            <v>-11.389111111111117</v>
          </cell>
          <cell r="FZ93">
            <v>-11.644555555555561</v>
          </cell>
          <cell r="GA93">
            <v>-11.9</v>
          </cell>
        </row>
        <row r="94">
          <cell r="B94" t="str">
            <v>k7</v>
          </cell>
          <cell r="C94">
            <v>-2.71</v>
          </cell>
          <cell r="D94">
            <v>-2.7102222222222223</v>
          </cell>
          <cell r="E94">
            <v>-2.7104444444444447</v>
          </cell>
          <cell r="F94">
            <v>-2.710666666666667</v>
          </cell>
          <cell r="G94">
            <v>-2.7108888888888893</v>
          </cell>
          <cell r="H94">
            <v>-2.7111111111111117</v>
          </cell>
          <cell r="I94">
            <v>-2.711333333333334</v>
          </cell>
          <cell r="J94">
            <v>-2.7115555555555564</v>
          </cell>
          <cell r="K94">
            <v>-2.7117777777777787</v>
          </cell>
          <cell r="L94">
            <v>-2.7120000000000011</v>
          </cell>
          <cell r="M94">
            <v>-2.7122222222222234</v>
          </cell>
          <cell r="N94">
            <v>-2.7124444444444458</v>
          </cell>
          <cell r="O94">
            <v>-2.7126666666666681</v>
          </cell>
          <cell r="P94">
            <v>-2.7128888888888905</v>
          </cell>
          <cell r="Q94">
            <v>-2.7131111111111128</v>
          </cell>
          <cell r="R94">
            <v>-2.7133333333333352</v>
          </cell>
          <cell r="S94">
            <v>-2.7135555555555575</v>
          </cell>
          <cell r="T94">
            <v>-2.7137777777777798</v>
          </cell>
          <cell r="U94">
            <v>-2.7140000000000022</v>
          </cell>
          <cell r="V94">
            <v>-2.7142222222222245</v>
          </cell>
          <cell r="W94">
            <v>-2.7144444444444469</v>
          </cell>
          <cell r="X94">
            <v>-2.7146666666666692</v>
          </cell>
          <cell r="Y94">
            <v>-2.7148888888888916</v>
          </cell>
          <cell r="Z94">
            <v>-2.7151111111111139</v>
          </cell>
          <cell r="AA94">
            <v>-2.7153333333333363</v>
          </cell>
          <cell r="AB94">
            <v>-2.7155555555555586</v>
          </cell>
          <cell r="AC94">
            <v>-2.715777777777781</v>
          </cell>
          <cell r="AD94">
            <v>-2.7160000000000033</v>
          </cell>
          <cell r="AE94">
            <v>-2.7162222222222256</v>
          </cell>
          <cell r="AF94">
            <v>-2.716444444444448</v>
          </cell>
          <cell r="AG94">
            <v>-2.7166666666666703</v>
          </cell>
          <cell r="AH94">
            <v>-2.7168888888888927</v>
          </cell>
          <cell r="AI94">
            <v>-2.717111111111115</v>
          </cell>
          <cell r="AJ94">
            <v>-2.7173333333333374</v>
          </cell>
          <cell r="AK94">
            <v>-2.7175555555555597</v>
          </cell>
          <cell r="AL94">
            <v>-2.7177777777777821</v>
          </cell>
          <cell r="AM94">
            <v>-2.7180000000000044</v>
          </cell>
          <cell r="AN94">
            <v>-2.7182222222222268</v>
          </cell>
          <cell r="AO94">
            <v>-2.7184444444444491</v>
          </cell>
          <cell r="AP94">
            <v>-2.7186666666666714</v>
          </cell>
          <cell r="AQ94">
            <v>-2.7188888888888938</v>
          </cell>
          <cell r="AR94">
            <v>-2.7191111111111161</v>
          </cell>
          <cell r="AS94">
            <v>-2.7193333333333385</v>
          </cell>
          <cell r="AT94">
            <v>-2.7195555555555608</v>
          </cell>
          <cell r="AU94">
            <v>-2.7197777777777832</v>
          </cell>
          <cell r="AV94">
            <v>-2.72</v>
          </cell>
          <cell r="AW94">
            <v>-2.6716000000000002</v>
          </cell>
          <cell r="AX94">
            <v>-2.6232000000000002</v>
          </cell>
          <cell r="AY94">
            <v>-2.5748000000000002</v>
          </cell>
          <cell r="AZ94">
            <v>-2.5264000000000002</v>
          </cell>
          <cell r="BA94">
            <v>-2.4780000000000002</v>
          </cell>
          <cell r="BB94">
            <v>-2.4296000000000002</v>
          </cell>
          <cell r="BC94">
            <v>-2.3812000000000002</v>
          </cell>
          <cell r="BD94">
            <v>-2.3328000000000002</v>
          </cell>
          <cell r="BE94">
            <v>-2.2844000000000002</v>
          </cell>
          <cell r="BF94">
            <v>-2.2360000000000002</v>
          </cell>
          <cell r="BG94">
            <v>-2.1876000000000002</v>
          </cell>
          <cell r="BH94">
            <v>-2.1392000000000002</v>
          </cell>
          <cell r="BI94">
            <v>-2.0908000000000002</v>
          </cell>
          <cell r="BJ94">
            <v>-2.0424000000000002</v>
          </cell>
          <cell r="BK94">
            <v>-1.9940000000000002</v>
          </cell>
          <cell r="BL94">
            <v>-1.9456000000000002</v>
          </cell>
          <cell r="BM94">
            <v>-1.8972000000000002</v>
          </cell>
          <cell r="BN94">
            <v>-1.8488000000000002</v>
          </cell>
          <cell r="BO94">
            <v>-1.8004000000000002</v>
          </cell>
          <cell r="BP94">
            <v>-1.7520000000000002</v>
          </cell>
          <cell r="BQ94">
            <v>-1.7036000000000002</v>
          </cell>
          <cell r="BR94">
            <v>-1.6552000000000002</v>
          </cell>
          <cell r="BS94">
            <v>-1.6068000000000002</v>
          </cell>
          <cell r="BT94">
            <v>-1.5584000000000002</v>
          </cell>
          <cell r="BU94">
            <v>-1.5100000000000002</v>
          </cell>
          <cell r="BV94">
            <v>-1.4616000000000002</v>
          </cell>
          <cell r="BW94">
            <v>-1.4132000000000002</v>
          </cell>
          <cell r="BX94">
            <v>-1.3648000000000002</v>
          </cell>
          <cell r="BY94">
            <v>-1.3164000000000002</v>
          </cell>
          <cell r="BZ94">
            <v>-1.2680000000000002</v>
          </cell>
          <cell r="CA94">
            <v>-1.2196000000000002</v>
          </cell>
          <cell r="CB94">
            <v>-1.1712000000000002</v>
          </cell>
          <cell r="CC94">
            <v>-1.1228000000000002</v>
          </cell>
          <cell r="CD94">
            <v>-1.0744000000000002</v>
          </cell>
          <cell r="CE94">
            <v>-1.0260000000000002</v>
          </cell>
          <cell r="CF94">
            <v>-0.97760000000000025</v>
          </cell>
          <cell r="CG94">
            <v>-0.92920000000000025</v>
          </cell>
          <cell r="CH94">
            <v>-0.88080000000000025</v>
          </cell>
          <cell r="CI94">
            <v>-0.83240000000000025</v>
          </cell>
          <cell r="CJ94">
            <v>-0.78400000000000025</v>
          </cell>
          <cell r="CK94">
            <v>-0.73560000000000025</v>
          </cell>
          <cell r="CL94">
            <v>-0.68720000000000026</v>
          </cell>
          <cell r="CM94">
            <v>-0.63880000000000026</v>
          </cell>
          <cell r="CN94">
            <v>-0.59040000000000026</v>
          </cell>
          <cell r="CO94">
            <v>-0.54200000000000004</v>
          </cell>
          <cell r="CP94">
            <v>-0.6272888888888889</v>
          </cell>
          <cell r="CQ94">
            <v>-0.71257777777777775</v>
          </cell>
          <cell r="CR94">
            <v>-0.79786666666666661</v>
          </cell>
          <cell r="CS94">
            <v>-0.88315555555555547</v>
          </cell>
          <cell r="CT94">
            <v>-0.96844444444444433</v>
          </cell>
          <cell r="CU94">
            <v>-1.0537333333333332</v>
          </cell>
          <cell r="CV94">
            <v>-1.1390222222222222</v>
          </cell>
          <cell r="CW94">
            <v>-1.2243111111111111</v>
          </cell>
          <cell r="CX94">
            <v>-1.3096000000000001</v>
          </cell>
          <cell r="CY94">
            <v>-1.3948888888888891</v>
          </cell>
          <cell r="CZ94">
            <v>-1.480177777777778</v>
          </cell>
          <cell r="DA94">
            <v>-1.565466666666667</v>
          </cell>
          <cell r="DB94">
            <v>-1.650755555555556</v>
          </cell>
          <cell r="DC94">
            <v>-1.7360444444444449</v>
          </cell>
          <cell r="DD94">
            <v>-1.8213333333333339</v>
          </cell>
          <cell r="DE94">
            <v>-1.9066222222222229</v>
          </cell>
          <cell r="DF94">
            <v>-1.9919111111111119</v>
          </cell>
          <cell r="DG94">
            <v>-2.0772000000000008</v>
          </cell>
          <cell r="DH94">
            <v>-2.1624888888888898</v>
          </cell>
          <cell r="DI94">
            <v>-2.2477777777777788</v>
          </cell>
          <cell r="DJ94">
            <v>-2.3330666666666677</v>
          </cell>
          <cell r="DK94">
            <v>-2.4183555555555567</v>
          </cell>
          <cell r="DL94">
            <v>-2.5036444444444457</v>
          </cell>
          <cell r="DM94">
            <v>-2.5889333333333346</v>
          </cell>
          <cell r="DN94">
            <v>-2.6742222222222236</v>
          </cell>
          <cell r="DO94">
            <v>-2.7595111111111126</v>
          </cell>
          <cell r="DP94">
            <v>-2.8448000000000015</v>
          </cell>
          <cell r="DQ94">
            <v>-2.9300888888888905</v>
          </cell>
          <cell r="DR94">
            <v>-3.0153777777777795</v>
          </cell>
          <cell r="DS94">
            <v>-3.1006666666666685</v>
          </cell>
          <cell r="DT94">
            <v>-3.1859555555555574</v>
          </cell>
          <cell r="DU94">
            <v>-3.2712444444444464</v>
          </cell>
          <cell r="DV94">
            <v>-3.3565333333333354</v>
          </cell>
          <cell r="DW94">
            <v>-3.4418222222222243</v>
          </cell>
          <cell r="DX94">
            <v>-3.5271111111111133</v>
          </cell>
          <cell r="DY94">
            <v>-3.6124000000000023</v>
          </cell>
          <cell r="DZ94">
            <v>-3.6976888888888912</v>
          </cell>
          <cell r="EA94">
            <v>-3.7829777777777802</v>
          </cell>
          <cell r="EB94">
            <v>-3.8682666666666692</v>
          </cell>
          <cell r="EC94">
            <v>-3.9535555555555582</v>
          </cell>
          <cell r="ED94">
            <v>-4.0388444444444467</v>
          </cell>
          <cell r="EE94">
            <v>-4.1241333333333356</v>
          </cell>
          <cell r="EF94">
            <v>-4.2094222222222246</v>
          </cell>
          <cell r="EG94">
            <v>-4.2947111111111136</v>
          </cell>
          <cell r="EH94">
            <v>-4.38</v>
          </cell>
          <cell r="EI94">
            <v>-4.306222222222222</v>
          </cell>
          <cell r="EJ94">
            <v>-4.232444444444444</v>
          </cell>
          <cell r="EK94">
            <v>-4.1586666666666661</v>
          </cell>
          <cell r="EL94">
            <v>-4.0848888888888881</v>
          </cell>
          <cell r="EM94">
            <v>-4.0111111111111102</v>
          </cell>
          <cell r="EN94">
            <v>-3.9373333333333322</v>
          </cell>
          <cell r="EO94">
            <v>-3.8635555555555543</v>
          </cell>
          <cell r="EP94">
            <v>-3.7897777777777764</v>
          </cell>
          <cell r="EQ94">
            <v>-3.7159999999999984</v>
          </cell>
          <cell r="ER94">
            <v>-3.6422222222222205</v>
          </cell>
          <cell r="ES94">
            <v>-3.5684444444444425</v>
          </cell>
          <cell r="ET94">
            <v>-3.4946666666666646</v>
          </cell>
          <cell r="EU94">
            <v>-3.4208888888888866</v>
          </cell>
          <cell r="EV94">
            <v>-3.3471111111111087</v>
          </cell>
          <cell r="EW94">
            <v>-3.2733333333333308</v>
          </cell>
          <cell r="EX94">
            <v>-3.1995555555555528</v>
          </cell>
          <cell r="EY94">
            <v>-3.1257777777777749</v>
          </cell>
          <cell r="EZ94">
            <v>-3.0519999999999969</v>
          </cell>
          <cell r="FA94">
            <v>-2.978222222222219</v>
          </cell>
          <cell r="FB94">
            <v>-2.9044444444444411</v>
          </cell>
          <cell r="FC94">
            <v>-2.8306666666666631</v>
          </cell>
          <cell r="FD94">
            <v>-2.7568888888888852</v>
          </cell>
          <cell r="FE94">
            <v>-2.6831111111111072</v>
          </cell>
          <cell r="FF94">
            <v>-2.6093333333333293</v>
          </cell>
          <cell r="FG94">
            <v>-2.5355555555555513</v>
          </cell>
          <cell r="FH94">
            <v>-2.4617777777777734</v>
          </cell>
          <cell r="FI94">
            <v>-2.3879999999999955</v>
          </cell>
          <cell r="FJ94">
            <v>-2.3142222222222175</v>
          </cell>
          <cell r="FK94">
            <v>-2.2404444444444396</v>
          </cell>
          <cell r="FL94">
            <v>-2.1666666666666616</v>
          </cell>
          <cell r="FM94">
            <v>-2.0928888888888837</v>
          </cell>
          <cell r="FN94">
            <v>-2.0191111111111057</v>
          </cell>
          <cell r="FO94">
            <v>-1.945333333333328</v>
          </cell>
          <cell r="FP94">
            <v>-1.8715555555555503</v>
          </cell>
          <cell r="FQ94">
            <v>-1.7977777777777726</v>
          </cell>
          <cell r="FR94">
            <v>-1.7239999999999949</v>
          </cell>
          <cell r="FS94">
            <v>-1.6502222222222171</v>
          </cell>
          <cell r="FT94">
            <v>-1.5764444444444394</v>
          </cell>
          <cell r="FU94">
            <v>-1.5026666666666617</v>
          </cell>
          <cell r="FV94">
            <v>-1.428888888888884</v>
          </cell>
          <cell r="FW94">
            <v>-1.3551111111111063</v>
          </cell>
          <cell r="FX94">
            <v>-1.2813333333333286</v>
          </cell>
          <cell r="FY94">
            <v>-1.2075555555555508</v>
          </cell>
          <cell r="FZ94">
            <v>-1.1337777777777731</v>
          </cell>
          <cell r="GA94">
            <v>-1.06</v>
          </cell>
        </row>
        <row r="95">
          <cell r="B95" t="str">
            <v>k8</v>
          </cell>
          <cell r="C95">
            <v>-0.99099999999999999</v>
          </cell>
          <cell r="D95">
            <v>-0.97453333333333336</v>
          </cell>
          <cell r="E95">
            <v>-0.95806666666666673</v>
          </cell>
          <cell r="F95">
            <v>-0.9416000000000001</v>
          </cell>
          <cell r="G95">
            <v>-0.92513333333333347</v>
          </cell>
          <cell r="H95">
            <v>-0.90866666666666684</v>
          </cell>
          <cell r="I95">
            <v>-0.89220000000000022</v>
          </cell>
          <cell r="J95">
            <v>-0.87573333333333359</v>
          </cell>
          <cell r="K95">
            <v>-0.85926666666666696</v>
          </cell>
          <cell r="L95">
            <v>-0.84280000000000033</v>
          </cell>
          <cell r="M95">
            <v>-0.8263333333333337</v>
          </cell>
          <cell r="N95">
            <v>-0.80986666666666707</v>
          </cell>
          <cell r="O95">
            <v>-0.79340000000000044</v>
          </cell>
          <cell r="P95">
            <v>-0.77693333333333381</v>
          </cell>
          <cell r="Q95">
            <v>-0.76046666666666718</v>
          </cell>
          <cell r="R95">
            <v>-0.74400000000000055</v>
          </cell>
          <cell r="S95">
            <v>-0.72753333333333392</v>
          </cell>
          <cell r="T95">
            <v>-0.71106666666666729</v>
          </cell>
          <cell r="U95">
            <v>-0.69460000000000066</v>
          </cell>
          <cell r="V95">
            <v>-0.67813333333333403</v>
          </cell>
          <cell r="W95">
            <v>-0.6616666666666674</v>
          </cell>
          <cell r="X95">
            <v>-0.64520000000000077</v>
          </cell>
          <cell r="Y95">
            <v>-0.62873333333333414</v>
          </cell>
          <cell r="Z95">
            <v>-0.61226666666666751</v>
          </cell>
          <cell r="AA95">
            <v>-0.59580000000000088</v>
          </cell>
          <cell r="AB95">
            <v>-0.57933333333333425</v>
          </cell>
          <cell r="AC95">
            <v>-0.56286666666666763</v>
          </cell>
          <cell r="AD95">
            <v>-0.546400000000001</v>
          </cell>
          <cell r="AE95">
            <v>-0.52993333333333437</v>
          </cell>
          <cell r="AF95">
            <v>-0.51346666666666774</v>
          </cell>
          <cell r="AG95">
            <v>-0.49700000000000105</v>
          </cell>
          <cell r="AH95">
            <v>-0.48053333333333437</v>
          </cell>
          <cell r="AI95">
            <v>-0.46406666666666768</v>
          </cell>
          <cell r="AJ95">
            <v>-0.447600000000001</v>
          </cell>
          <cell r="AK95">
            <v>-0.43113333333333431</v>
          </cell>
          <cell r="AL95">
            <v>-0.41466666666666763</v>
          </cell>
          <cell r="AM95">
            <v>-0.39820000000000094</v>
          </cell>
          <cell r="AN95">
            <v>-0.38173333333333426</v>
          </cell>
          <cell r="AO95">
            <v>-0.36526666666666757</v>
          </cell>
          <cell r="AP95">
            <v>-0.34880000000000089</v>
          </cell>
          <cell r="AQ95">
            <v>-0.3323333333333342</v>
          </cell>
          <cell r="AR95">
            <v>-0.31586666666666752</v>
          </cell>
          <cell r="AS95">
            <v>-0.29940000000000083</v>
          </cell>
          <cell r="AT95">
            <v>-0.28293333333333415</v>
          </cell>
          <cell r="AU95">
            <v>-0.26646666666666746</v>
          </cell>
          <cell r="AV95">
            <v>-0.25</v>
          </cell>
          <cell r="AW95">
            <v>-0.26126666666666665</v>
          </cell>
          <cell r="AX95">
            <v>-0.27253333333333329</v>
          </cell>
          <cell r="AY95">
            <v>-0.28379999999999994</v>
          </cell>
          <cell r="AZ95">
            <v>-0.29506666666666659</v>
          </cell>
          <cell r="BA95">
            <v>-0.30633333333333324</v>
          </cell>
          <cell r="BB95">
            <v>-0.31759999999999988</v>
          </cell>
          <cell r="BC95">
            <v>-0.32886666666666653</v>
          </cell>
          <cell r="BD95">
            <v>-0.34013333333333318</v>
          </cell>
          <cell r="BE95">
            <v>-0.35139999999999982</v>
          </cell>
          <cell r="BF95">
            <v>-0.36266666666666647</v>
          </cell>
          <cell r="BG95">
            <v>-0.37393333333333312</v>
          </cell>
          <cell r="BH95">
            <v>-0.38519999999999976</v>
          </cell>
          <cell r="BI95">
            <v>-0.39646666666666641</v>
          </cell>
          <cell r="BJ95">
            <v>-0.40773333333333306</v>
          </cell>
          <cell r="BK95">
            <v>-0.41899999999999971</v>
          </cell>
          <cell r="BL95">
            <v>-0.43026666666666635</v>
          </cell>
          <cell r="BM95">
            <v>-0.441533333333333</v>
          </cell>
          <cell r="BN95">
            <v>-0.45279999999999965</v>
          </cell>
          <cell r="BO95">
            <v>-0.46406666666666629</v>
          </cell>
          <cell r="BP95">
            <v>-0.47533333333333294</v>
          </cell>
          <cell r="BQ95">
            <v>-0.48659999999999959</v>
          </cell>
          <cell r="BR95">
            <v>-0.49786666666666624</v>
          </cell>
          <cell r="BS95">
            <v>-0.50913333333333288</v>
          </cell>
          <cell r="BT95">
            <v>-0.52039999999999953</v>
          </cell>
          <cell r="BU95">
            <v>-0.53166666666666618</v>
          </cell>
          <cell r="BV95">
            <v>-0.54293333333333282</v>
          </cell>
          <cell r="BW95">
            <v>-0.55419999999999947</v>
          </cell>
          <cell r="BX95">
            <v>-0.56546666666666612</v>
          </cell>
          <cell r="BY95">
            <v>-0.57673333333333276</v>
          </cell>
          <cell r="BZ95">
            <v>-0.58799999999999941</v>
          </cell>
          <cell r="CA95">
            <v>-0.59926666666666606</v>
          </cell>
          <cell r="CB95">
            <v>-0.61053333333333271</v>
          </cell>
          <cell r="CC95">
            <v>-0.62179999999999935</v>
          </cell>
          <cell r="CD95">
            <v>-0.633066666666666</v>
          </cell>
          <cell r="CE95">
            <v>-0.64433333333333265</v>
          </cell>
          <cell r="CF95">
            <v>-0.65559999999999929</v>
          </cell>
          <cell r="CG95">
            <v>-0.66686666666666594</v>
          </cell>
          <cell r="CH95">
            <v>-0.67813333333333259</v>
          </cell>
          <cell r="CI95">
            <v>-0.68939999999999924</v>
          </cell>
          <cell r="CJ95">
            <v>-0.70066666666666588</v>
          </cell>
          <cell r="CK95">
            <v>-0.71193333333333253</v>
          </cell>
          <cell r="CL95">
            <v>-0.72319999999999918</v>
          </cell>
          <cell r="CM95">
            <v>-0.73446666666666582</v>
          </cell>
          <cell r="CN95">
            <v>-0.74573333333333247</v>
          </cell>
          <cell r="CO95">
            <v>-0.75700000000000001</v>
          </cell>
          <cell r="CP95">
            <v>-0.63151111111111113</v>
          </cell>
          <cell r="CQ95">
            <v>-0.50602222222222226</v>
          </cell>
          <cell r="CR95">
            <v>-0.38053333333333339</v>
          </cell>
          <cell r="CS95">
            <v>-0.25504444444444452</v>
          </cell>
          <cell r="CT95">
            <v>-0.12955555555555565</v>
          </cell>
          <cell r="CU95">
            <v>-4.0666666666667739E-3</v>
          </cell>
          <cell r="CV95">
            <v>0.1214222222222221</v>
          </cell>
          <cell r="CW95">
            <v>0.24691111111111097</v>
          </cell>
          <cell r="CX95">
            <v>0.37239999999999984</v>
          </cell>
          <cell r="CY95">
            <v>0.49788888888888871</v>
          </cell>
          <cell r="CZ95">
            <v>0.62337777777777759</v>
          </cell>
          <cell r="DA95">
            <v>0.74886666666666646</v>
          </cell>
          <cell r="DB95">
            <v>0.87435555555555533</v>
          </cell>
          <cell r="DC95">
            <v>0.9998444444444442</v>
          </cell>
          <cell r="DD95">
            <v>1.1253333333333331</v>
          </cell>
          <cell r="DE95">
            <v>1.2508222222222218</v>
          </cell>
          <cell r="DF95">
            <v>1.3763111111111108</v>
          </cell>
          <cell r="DG95">
            <v>1.5017999999999998</v>
          </cell>
          <cell r="DH95">
            <v>1.6272888888888888</v>
          </cell>
          <cell r="DI95">
            <v>1.7527777777777778</v>
          </cell>
          <cell r="DJ95">
            <v>1.8782666666666668</v>
          </cell>
          <cell r="DK95">
            <v>2.0037555555555557</v>
          </cell>
          <cell r="DL95">
            <v>2.1292444444444447</v>
          </cell>
          <cell r="DM95">
            <v>2.2547333333333337</v>
          </cell>
          <cell r="DN95">
            <v>2.3802222222222227</v>
          </cell>
          <cell r="DO95">
            <v>2.5057111111111117</v>
          </cell>
          <cell r="DP95">
            <v>2.6312000000000006</v>
          </cell>
          <cell r="DQ95">
            <v>2.7566888888888896</v>
          </cell>
          <cell r="DR95">
            <v>2.8821777777777786</v>
          </cell>
          <cell r="DS95">
            <v>3.0076666666666676</v>
          </cell>
          <cell r="DT95">
            <v>3.1331555555555566</v>
          </cell>
          <cell r="DU95">
            <v>3.2586444444444456</v>
          </cell>
          <cell r="DV95">
            <v>3.3841333333333345</v>
          </cell>
          <cell r="DW95">
            <v>3.5096222222222235</v>
          </cell>
          <cell r="DX95">
            <v>3.6351111111111125</v>
          </cell>
          <cell r="DY95">
            <v>3.7606000000000015</v>
          </cell>
          <cell r="DZ95">
            <v>3.8860888888888905</v>
          </cell>
          <cell r="EA95">
            <v>4.011577777777779</v>
          </cell>
          <cell r="EB95">
            <v>4.1370666666666676</v>
          </cell>
          <cell r="EC95">
            <v>4.2625555555555561</v>
          </cell>
          <cell r="ED95">
            <v>4.3880444444444446</v>
          </cell>
          <cell r="EE95">
            <v>4.5135333333333332</v>
          </cell>
          <cell r="EF95">
            <v>4.6390222222222217</v>
          </cell>
          <cell r="EG95">
            <v>4.7645111111111103</v>
          </cell>
          <cell r="EH95">
            <v>4.8899999999999997</v>
          </cell>
          <cell r="EI95">
            <v>4.7832711111111106</v>
          </cell>
          <cell r="EJ95">
            <v>4.6765422222222215</v>
          </cell>
          <cell r="EK95">
            <v>4.5698133333333324</v>
          </cell>
          <cell r="EL95">
            <v>4.4630844444444433</v>
          </cell>
          <cell r="EM95">
            <v>4.3563555555555542</v>
          </cell>
          <cell r="EN95">
            <v>4.2496266666666651</v>
          </cell>
          <cell r="EO95">
            <v>4.142897777777776</v>
          </cell>
          <cell r="EP95">
            <v>4.0361688888888869</v>
          </cell>
          <cell r="EQ95">
            <v>3.9294399999999978</v>
          </cell>
          <cell r="ER95">
            <v>3.8227111111111087</v>
          </cell>
          <cell r="ES95">
            <v>3.7159822222222196</v>
          </cell>
          <cell r="ET95">
            <v>3.6092533333333305</v>
          </cell>
          <cell r="EU95">
            <v>3.5025244444444414</v>
          </cell>
          <cell r="EV95">
            <v>3.3957955555555523</v>
          </cell>
          <cell r="EW95">
            <v>3.2890666666666633</v>
          </cell>
          <cell r="EX95">
            <v>3.1823377777777742</v>
          </cell>
          <cell r="EY95">
            <v>3.0756088888888851</v>
          </cell>
          <cell r="EZ95">
            <v>2.968879999999996</v>
          </cell>
          <cell r="FA95">
            <v>2.8621511111111069</v>
          </cell>
          <cell r="FB95">
            <v>2.7554222222222178</v>
          </cell>
          <cell r="FC95">
            <v>2.6486933333333287</v>
          </cell>
          <cell r="FD95">
            <v>2.5419644444444396</v>
          </cell>
          <cell r="FE95">
            <v>2.4352355555555505</v>
          </cell>
          <cell r="FF95">
            <v>2.3285066666666614</v>
          </cell>
          <cell r="FG95">
            <v>2.2217777777777723</v>
          </cell>
          <cell r="FH95">
            <v>2.1150488888888832</v>
          </cell>
          <cell r="FI95">
            <v>2.0083199999999941</v>
          </cell>
          <cell r="FJ95">
            <v>1.9015911111111052</v>
          </cell>
          <cell r="FK95">
            <v>1.7948622222222164</v>
          </cell>
          <cell r="FL95">
            <v>1.6881333333333275</v>
          </cell>
          <cell r="FM95">
            <v>1.5814044444444386</v>
          </cell>
          <cell r="FN95">
            <v>1.4746755555555497</v>
          </cell>
          <cell r="FO95">
            <v>1.3679466666666609</v>
          </cell>
          <cell r="FP95">
            <v>1.261217777777772</v>
          </cell>
          <cell r="FQ95">
            <v>1.1544888888888831</v>
          </cell>
          <cell r="FR95">
            <v>1.0477599999999943</v>
          </cell>
          <cell r="FS95">
            <v>0.94103111111110538</v>
          </cell>
          <cell r="FT95">
            <v>0.83430222222221651</v>
          </cell>
          <cell r="FU95">
            <v>0.72757333333332763</v>
          </cell>
          <cell r="FV95">
            <v>0.62084444444443876</v>
          </cell>
          <cell r="FW95">
            <v>0.51411555555554989</v>
          </cell>
          <cell r="FX95">
            <v>0.40738666666666101</v>
          </cell>
          <cell r="FY95">
            <v>0.30065777777777214</v>
          </cell>
          <cell r="FZ95">
            <v>0.19392888888888327</v>
          </cell>
          <cell r="GA95">
            <v>8.72E-2</v>
          </cell>
        </row>
        <row r="96">
          <cell r="B96" t="str">
            <v>k9</v>
          </cell>
          <cell r="C96">
            <v>4.59</v>
          </cell>
          <cell r="D96">
            <v>4.556222222222222</v>
          </cell>
          <cell r="E96">
            <v>4.522444444444444</v>
          </cell>
          <cell r="F96">
            <v>4.4886666666666661</v>
          </cell>
          <cell r="G96">
            <v>4.4548888888888882</v>
          </cell>
          <cell r="H96">
            <v>4.4211111111111103</v>
          </cell>
          <cell r="I96">
            <v>4.3873333333333324</v>
          </cell>
          <cell r="J96">
            <v>4.3535555555555545</v>
          </cell>
          <cell r="K96">
            <v>4.3197777777777766</v>
          </cell>
          <cell r="L96">
            <v>4.2859999999999987</v>
          </cell>
          <cell r="M96">
            <v>4.2522222222222208</v>
          </cell>
          <cell r="N96">
            <v>4.2184444444444429</v>
          </cell>
          <cell r="O96">
            <v>4.184666666666665</v>
          </cell>
          <cell r="P96">
            <v>4.1508888888888871</v>
          </cell>
          <cell r="Q96">
            <v>4.1171111111111092</v>
          </cell>
          <cell r="R96">
            <v>4.0833333333333313</v>
          </cell>
          <cell r="S96">
            <v>4.0495555555555534</v>
          </cell>
          <cell r="T96">
            <v>4.0157777777777754</v>
          </cell>
          <cell r="U96">
            <v>3.9819999999999975</v>
          </cell>
          <cell r="V96">
            <v>3.9482222222222196</v>
          </cell>
          <cell r="W96">
            <v>3.9144444444444417</v>
          </cell>
          <cell r="X96">
            <v>3.8806666666666638</v>
          </cell>
          <cell r="Y96">
            <v>3.8468888888888859</v>
          </cell>
          <cell r="Z96">
            <v>3.813111111111108</v>
          </cell>
          <cell r="AA96">
            <v>3.7793333333333301</v>
          </cell>
          <cell r="AB96">
            <v>3.7455555555555522</v>
          </cell>
          <cell r="AC96">
            <v>3.7117777777777743</v>
          </cell>
          <cell r="AD96">
            <v>3.6779999999999964</v>
          </cell>
          <cell r="AE96">
            <v>3.6442222222222185</v>
          </cell>
          <cell r="AF96">
            <v>3.6104444444444406</v>
          </cell>
          <cell r="AG96">
            <v>3.5766666666666627</v>
          </cell>
          <cell r="AH96">
            <v>3.5428888888888848</v>
          </cell>
          <cell r="AI96">
            <v>3.5091111111111069</v>
          </cell>
          <cell r="AJ96">
            <v>3.4753333333333289</v>
          </cell>
          <cell r="AK96">
            <v>3.441555555555551</v>
          </cell>
          <cell r="AL96">
            <v>3.4077777777777731</v>
          </cell>
          <cell r="AM96">
            <v>3.3739999999999952</v>
          </cell>
          <cell r="AN96">
            <v>3.3402222222222173</v>
          </cell>
          <cell r="AO96">
            <v>3.3064444444444394</v>
          </cell>
          <cell r="AP96">
            <v>3.2726666666666615</v>
          </cell>
          <cell r="AQ96">
            <v>3.2388888888888836</v>
          </cell>
          <cell r="AR96">
            <v>3.2051111111111057</v>
          </cell>
          <cell r="AS96">
            <v>3.1713333333333278</v>
          </cell>
          <cell r="AT96">
            <v>3.1375555555555499</v>
          </cell>
          <cell r="AU96">
            <v>3.103777777777772</v>
          </cell>
          <cell r="AV96">
            <v>3.07</v>
          </cell>
          <cell r="AW96">
            <v>3.0151999999999997</v>
          </cell>
          <cell r="AX96">
            <v>2.9603999999999995</v>
          </cell>
          <cell r="AY96">
            <v>2.9055999999999993</v>
          </cell>
          <cell r="AZ96">
            <v>2.8507999999999991</v>
          </cell>
          <cell r="BA96">
            <v>2.7959999999999989</v>
          </cell>
          <cell r="BB96">
            <v>2.7411999999999987</v>
          </cell>
          <cell r="BC96">
            <v>2.6863999999999986</v>
          </cell>
          <cell r="BD96">
            <v>2.6315999999999984</v>
          </cell>
          <cell r="BE96">
            <v>2.5767999999999982</v>
          </cell>
          <cell r="BF96">
            <v>2.521999999999998</v>
          </cell>
          <cell r="BG96">
            <v>2.4671999999999978</v>
          </cell>
          <cell r="BH96">
            <v>2.4123999999999977</v>
          </cell>
          <cell r="BI96">
            <v>2.3575999999999975</v>
          </cell>
          <cell r="BJ96">
            <v>2.3027999999999973</v>
          </cell>
          <cell r="BK96">
            <v>2.2479999999999971</v>
          </cell>
          <cell r="BL96">
            <v>2.1931999999999969</v>
          </cell>
          <cell r="BM96">
            <v>2.1383999999999967</v>
          </cell>
          <cell r="BN96">
            <v>2.0835999999999966</v>
          </cell>
          <cell r="BO96">
            <v>2.0287999999999964</v>
          </cell>
          <cell r="BP96">
            <v>1.9739999999999964</v>
          </cell>
          <cell r="BQ96">
            <v>1.9191999999999965</v>
          </cell>
          <cell r="BR96">
            <v>1.8643999999999965</v>
          </cell>
          <cell r="BS96">
            <v>1.8095999999999965</v>
          </cell>
          <cell r="BT96">
            <v>1.7547999999999966</v>
          </cell>
          <cell r="BU96">
            <v>1.6999999999999966</v>
          </cell>
          <cell r="BV96">
            <v>1.6451999999999967</v>
          </cell>
          <cell r="BW96">
            <v>1.5903999999999967</v>
          </cell>
          <cell r="BX96">
            <v>1.5355999999999967</v>
          </cell>
          <cell r="BY96">
            <v>1.4807999999999968</v>
          </cell>
          <cell r="BZ96">
            <v>1.4259999999999968</v>
          </cell>
          <cell r="CA96">
            <v>1.3711999999999969</v>
          </cell>
          <cell r="CB96">
            <v>1.3163999999999969</v>
          </cell>
          <cell r="CC96">
            <v>1.2615999999999969</v>
          </cell>
          <cell r="CD96">
            <v>1.206799999999997</v>
          </cell>
          <cell r="CE96">
            <v>1.151999999999997</v>
          </cell>
          <cell r="CF96">
            <v>1.0971999999999971</v>
          </cell>
          <cell r="CG96">
            <v>1.0423999999999971</v>
          </cell>
          <cell r="CH96">
            <v>0.98759999999999715</v>
          </cell>
          <cell r="CI96">
            <v>0.93279999999999719</v>
          </cell>
          <cell r="CJ96">
            <v>0.87799999999999723</v>
          </cell>
          <cell r="CK96">
            <v>0.82319999999999727</v>
          </cell>
          <cell r="CL96">
            <v>0.76839999999999731</v>
          </cell>
          <cell r="CM96">
            <v>0.71359999999999735</v>
          </cell>
          <cell r="CN96">
            <v>0.65879999999999739</v>
          </cell>
          <cell r="CO96">
            <v>0.60399999999999998</v>
          </cell>
          <cell r="CP96">
            <v>0.54635555555555548</v>
          </cell>
          <cell r="CQ96">
            <v>0.48871111111111104</v>
          </cell>
          <cell r="CR96">
            <v>0.4310666666666666</v>
          </cell>
          <cell r="CS96">
            <v>0.37342222222222216</v>
          </cell>
          <cell r="CT96">
            <v>0.31577777777777771</v>
          </cell>
          <cell r="CU96">
            <v>0.25813333333333327</v>
          </cell>
          <cell r="CV96">
            <v>0.20048888888888883</v>
          </cell>
          <cell r="CW96">
            <v>0.14284444444444439</v>
          </cell>
          <cell r="CX96">
            <v>8.5199999999999942E-2</v>
          </cell>
          <cell r="CY96">
            <v>2.75555555555555E-2</v>
          </cell>
          <cell r="CZ96">
            <v>-3.0088888888888943E-2</v>
          </cell>
          <cell r="DA96">
            <v>-8.7733333333333385E-2</v>
          </cell>
          <cell r="DB96">
            <v>-0.14537777777777783</v>
          </cell>
          <cell r="DC96">
            <v>-0.20302222222222227</v>
          </cell>
          <cell r="DD96">
            <v>-0.26066666666666671</v>
          </cell>
          <cell r="DE96">
            <v>-0.31831111111111116</v>
          </cell>
          <cell r="DF96">
            <v>-0.3759555555555556</v>
          </cell>
          <cell r="DG96">
            <v>-0.43360000000000004</v>
          </cell>
          <cell r="DH96">
            <v>-0.49124444444444448</v>
          </cell>
          <cell r="DI96">
            <v>-0.54888888888888898</v>
          </cell>
          <cell r="DJ96">
            <v>-0.60653333333333337</v>
          </cell>
          <cell r="DK96">
            <v>-0.66417777777777776</v>
          </cell>
          <cell r="DL96">
            <v>-0.72182222222222214</v>
          </cell>
          <cell r="DM96">
            <v>-0.77946666666666653</v>
          </cell>
          <cell r="DN96">
            <v>-0.83711111111111092</v>
          </cell>
          <cell r="DO96">
            <v>-0.8947555555555553</v>
          </cell>
          <cell r="DP96">
            <v>-0.95239999999999969</v>
          </cell>
          <cell r="DQ96">
            <v>-1.0100444444444441</v>
          </cell>
          <cell r="DR96">
            <v>-1.0676888888888885</v>
          </cell>
          <cell r="DS96">
            <v>-1.1253333333333329</v>
          </cell>
          <cell r="DT96">
            <v>-1.1829777777777772</v>
          </cell>
          <cell r="DU96">
            <v>-1.2406222222222216</v>
          </cell>
          <cell r="DV96">
            <v>-1.298266666666666</v>
          </cell>
          <cell r="DW96">
            <v>-1.3559111111111104</v>
          </cell>
          <cell r="DX96">
            <v>-1.4135555555555548</v>
          </cell>
          <cell r="DY96">
            <v>-1.4711999999999992</v>
          </cell>
          <cell r="DZ96">
            <v>-1.5288444444444436</v>
          </cell>
          <cell r="EA96">
            <v>-1.5864888888888879</v>
          </cell>
          <cell r="EB96">
            <v>-1.6441333333333323</v>
          </cell>
          <cell r="EC96">
            <v>-1.7017777777777767</v>
          </cell>
          <cell r="ED96">
            <v>-1.7594222222222211</v>
          </cell>
          <cell r="EE96">
            <v>-1.8170666666666655</v>
          </cell>
          <cell r="EF96">
            <v>-1.8747111111111099</v>
          </cell>
          <cell r="EG96">
            <v>-1.9323555555555543</v>
          </cell>
          <cell r="EH96">
            <v>-1.99</v>
          </cell>
          <cell r="EI96">
            <v>-1.9500222222222221</v>
          </cell>
          <cell r="EJ96">
            <v>-1.9100444444444444</v>
          </cell>
          <cell r="EK96">
            <v>-1.8700666666666668</v>
          </cell>
          <cell r="EL96">
            <v>-1.8300888888888891</v>
          </cell>
          <cell r="EM96">
            <v>-1.7901111111111114</v>
          </cell>
          <cell r="EN96">
            <v>-1.7501333333333338</v>
          </cell>
          <cell r="EO96">
            <v>-1.7101555555555561</v>
          </cell>
          <cell r="EP96">
            <v>-1.6701777777777784</v>
          </cell>
          <cell r="EQ96">
            <v>-1.6302000000000008</v>
          </cell>
          <cell r="ER96">
            <v>-1.5902222222222231</v>
          </cell>
          <cell r="ES96">
            <v>-1.5502444444444454</v>
          </cell>
          <cell r="ET96">
            <v>-1.5102666666666678</v>
          </cell>
          <cell r="EU96">
            <v>-1.4702888888888901</v>
          </cell>
          <cell r="EV96">
            <v>-1.4303111111111124</v>
          </cell>
          <cell r="EW96">
            <v>-1.3903333333333348</v>
          </cell>
          <cell r="EX96">
            <v>-1.3503555555555571</v>
          </cell>
          <cell r="EY96">
            <v>-1.3103777777777794</v>
          </cell>
          <cell r="EZ96">
            <v>-1.2704000000000018</v>
          </cell>
          <cell r="FA96">
            <v>-1.2304222222222241</v>
          </cell>
          <cell r="FB96">
            <v>-1.1904444444444464</v>
          </cell>
          <cell r="FC96">
            <v>-1.1504666666666687</v>
          </cell>
          <cell r="FD96">
            <v>-1.1104888888888911</v>
          </cell>
          <cell r="FE96">
            <v>-1.0705111111111134</v>
          </cell>
          <cell r="FF96">
            <v>-1.0305333333333357</v>
          </cell>
          <cell r="FG96">
            <v>-0.99055555555555796</v>
          </cell>
          <cell r="FH96">
            <v>-0.95057777777778019</v>
          </cell>
          <cell r="FI96">
            <v>-0.91060000000000241</v>
          </cell>
          <cell r="FJ96">
            <v>-0.87062222222222463</v>
          </cell>
          <cell r="FK96">
            <v>-0.83064444444444685</v>
          </cell>
          <cell r="FL96">
            <v>-0.79066666666666907</v>
          </cell>
          <cell r="FM96">
            <v>-0.75068888888889129</v>
          </cell>
          <cell r="FN96">
            <v>-0.71071111111111351</v>
          </cell>
          <cell r="FO96">
            <v>-0.67073333333333574</v>
          </cell>
          <cell r="FP96">
            <v>-0.63075555555555796</v>
          </cell>
          <cell r="FQ96">
            <v>-0.59077777777778018</v>
          </cell>
          <cell r="FR96">
            <v>-0.5508000000000024</v>
          </cell>
          <cell r="FS96">
            <v>-0.51082222222222462</v>
          </cell>
          <cell r="FT96">
            <v>-0.47084444444444684</v>
          </cell>
          <cell r="FU96">
            <v>-0.43086666666666906</v>
          </cell>
          <cell r="FV96">
            <v>-0.39088888888889128</v>
          </cell>
          <cell r="FW96">
            <v>-0.35091111111111351</v>
          </cell>
          <cell r="FX96">
            <v>-0.31093333333333573</v>
          </cell>
          <cell r="FY96">
            <v>-0.27095555555555795</v>
          </cell>
          <cell r="FZ96">
            <v>-0.23097777777778017</v>
          </cell>
          <cell r="GA96">
            <v>-0.191</v>
          </cell>
        </row>
        <row r="111">
          <cell r="N111">
            <v>169</v>
          </cell>
          <cell r="P111">
            <v>167</v>
          </cell>
          <cell r="Q111">
            <v>166</v>
          </cell>
          <cell r="R111">
            <v>165</v>
          </cell>
          <cell r="S111">
            <v>164</v>
          </cell>
          <cell r="T111">
            <v>163</v>
          </cell>
          <cell r="U111">
            <v>162</v>
          </cell>
          <cell r="V111">
            <v>161</v>
          </cell>
          <cell r="W111">
            <v>160</v>
          </cell>
          <cell r="X111">
            <v>159</v>
          </cell>
          <cell r="Y111">
            <v>158</v>
          </cell>
          <cell r="Z111">
            <v>157</v>
          </cell>
          <cell r="AA111">
            <v>156</v>
          </cell>
          <cell r="AB111">
            <v>155</v>
          </cell>
          <cell r="AF111">
            <v>151</v>
          </cell>
          <cell r="AH111">
            <v>149</v>
          </cell>
          <cell r="AI111">
            <v>148</v>
          </cell>
          <cell r="AJ111">
            <v>147</v>
          </cell>
          <cell r="AK111">
            <v>146</v>
          </cell>
          <cell r="AL111">
            <v>145</v>
          </cell>
        </row>
        <row r="112">
          <cell r="N112">
            <v>19.911444444444427</v>
          </cell>
          <cell r="P112">
            <v>18.749888888888869</v>
          </cell>
          <cell r="Q112">
            <v>18.169111111111089</v>
          </cell>
          <cell r="R112">
            <v>17.58833333333331</v>
          </cell>
          <cell r="S112">
            <v>17.00755555555553</v>
          </cell>
          <cell r="T112">
            <v>16.426777777777751</v>
          </cell>
          <cell r="U112">
            <v>15.845999999999973</v>
          </cell>
          <cell r="V112">
            <v>15.265222222222196</v>
          </cell>
          <cell r="W112">
            <v>14.684444444444418</v>
          </cell>
          <cell r="X112">
            <v>14.103666666666641</v>
          </cell>
          <cell r="Y112">
            <v>13.522888888888863</v>
          </cell>
          <cell r="Z112">
            <v>12.942111111111085</v>
          </cell>
          <cell r="AA112">
            <v>12.361333333333308</v>
          </cell>
          <cell r="AB112">
            <v>11.78055555555553</v>
          </cell>
          <cell r="AF112">
            <v>9.4574444444444197</v>
          </cell>
          <cell r="AH112">
            <v>8.2958888888888644</v>
          </cell>
          <cell r="AI112">
            <v>7.7151111111110868</v>
          </cell>
          <cell r="AJ112">
            <v>7.1343333333333092</v>
          </cell>
          <cell r="AK112">
            <v>6.5535555555555316</v>
          </cell>
          <cell r="AL112">
            <v>5.972777777777754</v>
          </cell>
        </row>
        <row r="113">
          <cell r="N113">
            <v>-29.988444444444422</v>
          </cell>
          <cell r="P113">
            <v>-28.440888888888868</v>
          </cell>
          <cell r="Q113">
            <v>-27.66711111111109</v>
          </cell>
          <cell r="R113">
            <v>-26.893333333333313</v>
          </cell>
          <cell r="S113">
            <v>-26.119555555555536</v>
          </cell>
          <cell r="T113">
            <v>-25.345777777777759</v>
          </cell>
          <cell r="U113">
            <v>-24.571999999999981</v>
          </cell>
          <cell r="V113">
            <v>-23.798222222222204</v>
          </cell>
          <cell r="W113">
            <v>-23.024444444444427</v>
          </cell>
          <cell r="X113">
            <v>-22.25066666666665</v>
          </cell>
          <cell r="Y113">
            <v>-21.476888888888872</v>
          </cell>
          <cell r="Z113">
            <v>-20.703111111111095</v>
          </cell>
          <cell r="AA113">
            <v>-19.929333333333318</v>
          </cell>
          <cell r="AB113">
            <v>-19.155555555555541</v>
          </cell>
          <cell r="AF113">
            <v>-16.060444444444432</v>
          </cell>
          <cell r="AH113">
            <v>-14.512888888888877</v>
          </cell>
          <cell r="AI113">
            <v>-13.7391111111111</v>
          </cell>
          <cell r="AJ113">
            <v>-12.965333333333323</v>
          </cell>
          <cell r="AK113">
            <v>-12.191555555555546</v>
          </cell>
          <cell r="AL113">
            <v>-11.417777777777768</v>
          </cell>
        </row>
        <row r="114">
          <cell r="N114">
            <v>11.915555555555555</v>
          </cell>
          <cell r="P114">
            <v>11.39111111111111</v>
          </cell>
          <cell r="Q114">
            <v>11.128888888888888</v>
          </cell>
          <cell r="R114">
            <v>10.866666666666665</v>
          </cell>
          <cell r="S114">
            <v>10.604444444444443</v>
          </cell>
          <cell r="T114">
            <v>10.342222222222221</v>
          </cell>
          <cell r="U114">
            <v>10.079999999999998</v>
          </cell>
          <cell r="V114">
            <v>9.8177777777777759</v>
          </cell>
          <cell r="W114">
            <v>9.5555555555555536</v>
          </cell>
          <cell r="X114">
            <v>9.2933333333333312</v>
          </cell>
          <cell r="Y114">
            <v>9.0311111111111089</v>
          </cell>
          <cell r="Z114">
            <v>8.7688888888888865</v>
          </cell>
          <cell r="AA114">
            <v>8.5066666666666642</v>
          </cell>
          <cell r="AB114">
            <v>8.2444444444444418</v>
          </cell>
          <cell r="AF114">
            <v>7.1955555555555524</v>
          </cell>
          <cell r="AH114">
            <v>6.6711111111111077</v>
          </cell>
          <cell r="AI114">
            <v>6.4088888888888853</v>
          </cell>
          <cell r="AJ114">
            <v>6.1466666666666629</v>
          </cell>
          <cell r="AK114">
            <v>5.8844444444444406</v>
          </cell>
          <cell r="AL114">
            <v>5.6222222222222182</v>
          </cell>
        </row>
        <row r="115">
          <cell r="N115">
            <v>-10.907111111111108</v>
          </cell>
          <cell r="P115">
            <v>-9.8902222222222189</v>
          </cell>
          <cell r="Q115">
            <v>-9.3817777777777742</v>
          </cell>
          <cell r="R115">
            <v>-8.8733333333333295</v>
          </cell>
          <cell r="S115">
            <v>-8.3648888888888848</v>
          </cell>
          <cell r="T115">
            <v>-7.8564444444444401</v>
          </cell>
          <cell r="U115">
            <v>-7.3479999999999954</v>
          </cell>
          <cell r="V115">
            <v>-6.8395555555555507</v>
          </cell>
          <cell r="W115">
            <v>-6.331111111111106</v>
          </cell>
          <cell r="X115">
            <v>-5.8226666666666613</v>
          </cell>
          <cell r="Y115">
            <v>-5.3142222222222166</v>
          </cell>
          <cell r="Z115">
            <v>-4.8057777777777719</v>
          </cell>
          <cell r="AA115">
            <v>-4.2973333333333272</v>
          </cell>
          <cell r="AB115">
            <v>-3.7888888888888825</v>
          </cell>
          <cell r="AF115">
            <v>-1.755111111111104</v>
          </cell>
          <cell r="AH115">
            <v>-0.73822222222221501</v>
          </cell>
          <cell r="AI115">
            <v>-0.22977777777777053</v>
          </cell>
          <cell r="AJ115">
            <v>0.27866666666667395</v>
          </cell>
          <cell r="AK115">
            <v>0.78711111111111842</v>
          </cell>
          <cell r="AL115">
            <v>1.2955555555555629</v>
          </cell>
        </row>
        <row r="116">
          <cell r="N116">
            <v>19.519333333333321</v>
          </cell>
          <cell r="P116">
            <v>18.104666666666652</v>
          </cell>
          <cell r="Q116">
            <v>17.397333333333318</v>
          </cell>
          <cell r="R116">
            <v>16.689999999999984</v>
          </cell>
          <cell r="S116">
            <v>15.982666666666651</v>
          </cell>
          <cell r="T116">
            <v>15.275333333333318</v>
          </cell>
          <cell r="U116">
            <v>14.567999999999985</v>
          </cell>
          <cell r="V116">
            <v>13.860666666666653</v>
          </cell>
          <cell r="W116">
            <v>13.15333333333332</v>
          </cell>
          <cell r="X116">
            <v>12.445999999999987</v>
          </cell>
          <cell r="Y116">
            <v>11.738666666666655</v>
          </cell>
          <cell r="Z116">
            <v>11.031333333333322</v>
          </cell>
          <cell r="AA116">
            <v>10.323999999999989</v>
          </cell>
          <cell r="AB116">
            <v>9.6166666666666565</v>
          </cell>
          <cell r="AF116">
            <v>6.7873333333333239</v>
          </cell>
          <cell r="AH116">
            <v>5.3726666666666567</v>
          </cell>
          <cell r="AI116">
            <v>4.6653333333333231</v>
          </cell>
          <cell r="AJ116">
            <v>3.9579999999999895</v>
          </cell>
          <cell r="AK116">
            <v>3.2506666666666559</v>
          </cell>
          <cell r="AL116">
            <v>2.5433333333333223</v>
          </cell>
        </row>
        <row r="117">
          <cell r="N117">
            <v>-9.0901111111111099</v>
          </cell>
          <cell r="P117">
            <v>-8.5792222222222208</v>
          </cell>
          <cell r="Q117">
            <v>-8.3237777777777762</v>
          </cell>
          <cell r="R117">
            <v>-8.0683333333333316</v>
          </cell>
          <cell r="S117">
            <v>-7.812888888888887</v>
          </cell>
          <cell r="T117">
            <v>-7.5574444444444424</v>
          </cell>
          <cell r="U117">
            <v>-7.3019999999999978</v>
          </cell>
          <cell r="V117">
            <v>-7.0465555555555532</v>
          </cell>
          <cell r="W117">
            <v>-6.7911111111111087</v>
          </cell>
          <cell r="X117">
            <v>-6.5356666666666641</v>
          </cell>
          <cell r="Y117">
            <v>-6.2802222222222195</v>
          </cell>
          <cell r="Z117">
            <v>-6.0247777777777749</v>
          </cell>
          <cell r="AA117">
            <v>-5.7693333333333303</v>
          </cell>
          <cell r="AB117">
            <v>-5.5138888888888857</v>
          </cell>
          <cell r="AF117">
            <v>-4.4921111111111074</v>
          </cell>
          <cell r="AH117">
            <v>-3.9812222222222182</v>
          </cell>
          <cell r="AI117">
            <v>-3.7257777777777736</v>
          </cell>
          <cell r="AJ117">
            <v>-3.4703333333333291</v>
          </cell>
          <cell r="AK117">
            <v>-3.2148888888888845</v>
          </cell>
          <cell r="AL117">
            <v>-2.9594444444444399</v>
          </cell>
        </row>
        <row r="118">
          <cell r="N118">
            <v>-1.871555555555555</v>
          </cell>
          <cell r="P118">
            <v>-2.0191111111111106</v>
          </cell>
          <cell r="Q118">
            <v>-2.0928888888888886</v>
          </cell>
          <cell r="R118">
            <v>-2.1666666666666665</v>
          </cell>
          <cell r="S118">
            <v>-2.2404444444444445</v>
          </cell>
          <cell r="T118">
            <v>-2.3142222222222224</v>
          </cell>
          <cell r="U118">
            <v>-2.3880000000000003</v>
          </cell>
          <cell r="V118">
            <v>-2.4617777777777783</v>
          </cell>
          <cell r="W118">
            <v>-2.5355555555555562</v>
          </cell>
          <cell r="X118">
            <v>-2.6093333333333342</v>
          </cell>
          <cell r="Y118">
            <v>-2.6831111111111121</v>
          </cell>
          <cell r="Z118">
            <v>-2.7568888888888901</v>
          </cell>
          <cell r="AA118">
            <v>-2.830666666666668</v>
          </cell>
          <cell r="AB118">
            <v>-2.9044444444444459</v>
          </cell>
          <cell r="AF118">
            <v>-3.1995555555555577</v>
          </cell>
          <cell r="AH118">
            <v>-3.3471111111111136</v>
          </cell>
          <cell r="AI118">
            <v>-3.4208888888888915</v>
          </cell>
          <cell r="AJ118">
            <v>-3.4946666666666695</v>
          </cell>
          <cell r="AK118">
            <v>-3.5684444444444474</v>
          </cell>
          <cell r="AL118">
            <v>-3.6422222222222254</v>
          </cell>
        </row>
        <row r="119">
          <cell r="N119">
            <v>1.2612177777777775</v>
          </cell>
          <cell r="P119">
            <v>1.4746755555555553</v>
          </cell>
          <cell r="Q119">
            <v>1.5814044444444442</v>
          </cell>
          <cell r="R119">
            <v>1.688133333333333</v>
          </cell>
          <cell r="S119">
            <v>1.7948622222222219</v>
          </cell>
          <cell r="T119">
            <v>1.9015911111111108</v>
          </cell>
          <cell r="U119">
            <v>2.0083199999999994</v>
          </cell>
          <cell r="V119">
            <v>2.1150488888888885</v>
          </cell>
          <cell r="W119">
            <v>2.2217777777777776</v>
          </cell>
          <cell r="X119">
            <v>2.3285066666666667</v>
          </cell>
          <cell r="Y119">
            <v>2.4352355555555558</v>
          </cell>
          <cell r="Z119">
            <v>2.5419644444444449</v>
          </cell>
          <cell r="AA119">
            <v>2.648693333333334</v>
          </cell>
          <cell r="AB119">
            <v>2.7554222222222231</v>
          </cell>
          <cell r="AF119">
            <v>3.1823377777777795</v>
          </cell>
          <cell r="AH119">
            <v>3.3957955555555577</v>
          </cell>
          <cell r="AI119">
            <v>3.5025244444444468</v>
          </cell>
          <cell r="AJ119">
            <v>3.6092533333333359</v>
          </cell>
          <cell r="AK119">
            <v>3.715982222222225</v>
          </cell>
          <cell r="AL119">
            <v>3.8227111111111141</v>
          </cell>
        </row>
        <row r="120">
          <cell r="N120">
            <v>-0.63075555555555562</v>
          </cell>
          <cell r="P120">
            <v>-0.71071111111111118</v>
          </cell>
          <cell r="Q120">
            <v>-0.75068888888888896</v>
          </cell>
          <cell r="R120">
            <v>-0.79066666666666674</v>
          </cell>
          <cell r="S120">
            <v>-0.83064444444444452</v>
          </cell>
          <cell r="T120">
            <v>-0.8706222222222223</v>
          </cell>
          <cell r="U120">
            <v>-0.91060000000000008</v>
          </cell>
          <cell r="V120">
            <v>-0.95057777777777785</v>
          </cell>
          <cell r="W120">
            <v>-0.99055555555555563</v>
          </cell>
          <cell r="X120">
            <v>-1.0305333333333335</v>
          </cell>
          <cell r="Y120">
            <v>-1.0705111111111112</v>
          </cell>
          <cell r="Z120">
            <v>-1.1104888888888889</v>
          </cell>
          <cell r="AA120">
            <v>-1.1504666666666665</v>
          </cell>
          <cell r="AB120">
            <v>-1.1904444444444442</v>
          </cell>
          <cell r="AF120">
            <v>-1.3503555555555549</v>
          </cell>
          <cell r="AH120">
            <v>-1.4303111111111102</v>
          </cell>
          <cell r="AI120">
            <v>-1.4702888888888879</v>
          </cell>
          <cell r="AJ120">
            <v>-1.5102666666666655</v>
          </cell>
          <cell r="AK120">
            <v>-1.5502444444444432</v>
          </cell>
          <cell r="AL120">
            <v>-1.5902222222222209</v>
          </cell>
        </row>
        <row r="123">
          <cell r="N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F123">
            <v>0</v>
          </cell>
          <cell r="AH123">
            <v>0</v>
          </cell>
          <cell r="AI123">
            <v>0</v>
          </cell>
          <cell r="AJ123">
            <v>0</v>
          </cell>
          <cell r="AK123">
            <v>0</v>
          </cell>
          <cell r="AL123">
            <v>0</v>
          </cell>
        </row>
        <row r="124">
          <cell r="N124">
            <v>0.16017777777777908</v>
          </cell>
          <cell r="P124">
            <v>0.15075555555555686</v>
          </cell>
          <cell r="Q124">
            <v>0.14604444444444575</v>
          </cell>
          <cell r="R124">
            <v>0.14133333333333464</v>
          </cell>
          <cell r="S124">
            <v>0.13662222222222364</v>
          </cell>
          <cell r="T124">
            <v>0.13191111111111264</v>
          </cell>
          <cell r="U124">
            <v>0.12720000000000153</v>
          </cell>
          <cell r="V124">
            <v>0.12248888888889042</v>
          </cell>
          <cell r="W124">
            <v>0.11777777777777931</v>
          </cell>
          <cell r="X124">
            <v>0.1130666666666682</v>
          </cell>
          <cell r="Y124">
            <v>0.10835555555555709</v>
          </cell>
          <cell r="Z124">
            <v>0.10364444444444598</v>
          </cell>
          <cell r="AA124">
            <v>9.8933333333334872E-2</v>
          </cell>
          <cell r="AB124">
            <v>9.4222222222223762E-2</v>
          </cell>
          <cell r="AF124">
            <v>7.537777777777932E-2</v>
          </cell>
          <cell r="AH124">
            <v>6.5955555555557099E-2</v>
          </cell>
          <cell r="AI124">
            <v>6.1244444444445989E-2</v>
          </cell>
          <cell r="AJ124">
            <v>5.6533333333334657E-2</v>
          </cell>
          <cell r="AK124">
            <v>5.1822222222223324E-2</v>
          </cell>
          <cell r="AL124">
            <v>4.7111111111111992E-2</v>
          </cell>
        </row>
        <row r="125">
          <cell r="N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F125">
            <v>0</v>
          </cell>
          <cell r="AH125">
            <v>0</v>
          </cell>
          <cell r="AI125">
            <v>0</v>
          </cell>
          <cell r="AJ125">
            <v>0</v>
          </cell>
          <cell r="AK125">
            <v>0</v>
          </cell>
          <cell r="AL125">
            <v>0</v>
          </cell>
        </row>
        <row r="126">
          <cell r="N126">
            <v>-1.1546319456101628E-14</v>
          </cell>
          <cell r="P126">
            <v>-1.1546319456101628E-14</v>
          </cell>
          <cell r="Q126">
            <v>-1.1546319456101628E-14</v>
          </cell>
          <cell r="R126">
            <v>-1.1546319456101628E-14</v>
          </cell>
          <cell r="S126">
            <v>-1.1546319456101628E-14</v>
          </cell>
          <cell r="T126">
            <v>-1.1546319456101628E-14</v>
          </cell>
          <cell r="U126">
            <v>-1.1546319456101628E-14</v>
          </cell>
          <cell r="V126">
            <v>-1.1546319456101628E-14</v>
          </cell>
          <cell r="W126">
            <v>-1.1546319456101628E-14</v>
          </cell>
          <cell r="X126">
            <v>-1.1546319456101628E-14</v>
          </cell>
          <cell r="Y126">
            <v>-1.1546319456101628E-14</v>
          </cell>
          <cell r="Z126">
            <v>-1.1546319456101628E-14</v>
          </cell>
          <cell r="AA126">
            <v>-1.1546319456101628E-14</v>
          </cell>
          <cell r="AB126">
            <v>-1.1546319456101628E-14</v>
          </cell>
          <cell r="AF126">
            <v>-1.1546319456101628E-14</v>
          </cell>
          <cell r="AH126">
            <v>-1.1546319456101628E-14</v>
          </cell>
          <cell r="AI126">
            <v>-1.1546319456101628E-14</v>
          </cell>
          <cell r="AJ126">
            <v>-1.1546319456101628E-14</v>
          </cell>
          <cell r="AK126">
            <v>-1.1546319456101628E-14</v>
          </cell>
          <cell r="AL126">
            <v>-1.1546319456101628E-14</v>
          </cell>
        </row>
        <row r="127">
          <cell r="N127">
            <v>-2.2204460492503131E-15</v>
          </cell>
          <cell r="P127">
            <v>-2.2204460492503131E-15</v>
          </cell>
          <cell r="Q127">
            <v>-2.2204460492503131E-15</v>
          </cell>
          <cell r="R127">
            <v>-2.2204460492503131E-15</v>
          </cell>
          <cell r="S127">
            <v>-2.2204460492503131E-15</v>
          </cell>
          <cell r="T127">
            <v>-2.2204460492503131E-15</v>
          </cell>
          <cell r="U127">
            <v>-2.2204460492503131E-15</v>
          </cell>
          <cell r="V127">
            <v>-2.2204460492503131E-15</v>
          </cell>
          <cell r="W127">
            <v>-2.2204460492503131E-15</v>
          </cell>
          <cell r="X127">
            <v>-2.2204460492503131E-15</v>
          </cell>
          <cell r="Y127">
            <v>-2.2204460492503131E-15</v>
          </cell>
          <cell r="Z127">
            <v>-2.2204460492503131E-15</v>
          </cell>
          <cell r="AA127">
            <v>0</v>
          </cell>
          <cell r="AB127">
            <v>0</v>
          </cell>
          <cell r="AF127">
            <v>0</v>
          </cell>
          <cell r="AH127">
            <v>0</v>
          </cell>
          <cell r="AI127">
            <v>0</v>
          </cell>
          <cell r="AJ127">
            <v>0</v>
          </cell>
          <cell r="AK127">
            <v>0</v>
          </cell>
          <cell r="AL127">
            <v>0</v>
          </cell>
        </row>
        <row r="128">
          <cell r="N128">
            <v>-1.5987211554602254E-14</v>
          </cell>
          <cell r="P128">
            <v>-1.5987211554602254E-14</v>
          </cell>
          <cell r="Q128">
            <v>-1.5987211554602254E-14</v>
          </cell>
          <cell r="R128">
            <v>-1.5987211554602254E-14</v>
          </cell>
          <cell r="S128">
            <v>-1.5987211554602254E-14</v>
          </cell>
          <cell r="T128">
            <v>-1.5987211554602254E-14</v>
          </cell>
          <cell r="U128">
            <v>-1.5987211554602254E-14</v>
          </cell>
          <cell r="V128">
            <v>-1.5987211554602254E-14</v>
          </cell>
          <cell r="W128">
            <v>-1.5987211554602254E-14</v>
          </cell>
          <cell r="X128">
            <v>-1.5987211554602254E-14</v>
          </cell>
          <cell r="Y128">
            <v>-1.5987211554602254E-14</v>
          </cell>
          <cell r="Z128">
            <v>-1.5987211554602254E-14</v>
          </cell>
          <cell r="AA128">
            <v>-1.5987211554602254E-14</v>
          </cell>
          <cell r="AB128">
            <v>-1.5987211554602254E-14</v>
          </cell>
          <cell r="AF128">
            <v>-1.5987211554602254E-14</v>
          </cell>
          <cell r="AH128">
            <v>-1.5987211554602254E-14</v>
          </cell>
          <cell r="AI128">
            <v>-1.5987211554602254E-14</v>
          </cell>
          <cell r="AJ128">
            <v>-1.5987211554602254E-14</v>
          </cell>
          <cell r="AK128">
            <v>-1.5987211554602254E-14</v>
          </cell>
          <cell r="AL128">
            <v>-1.5987211554602254E-14</v>
          </cell>
        </row>
        <row r="129">
          <cell r="N129">
            <v>5.3290705182007514E-15</v>
          </cell>
          <cell r="P129">
            <v>5.3290705182007514E-15</v>
          </cell>
          <cell r="Q129">
            <v>5.3290705182007514E-15</v>
          </cell>
          <cell r="R129">
            <v>5.3290705182007514E-15</v>
          </cell>
          <cell r="S129">
            <v>5.3290705182007514E-15</v>
          </cell>
          <cell r="T129">
            <v>5.3290705182007514E-15</v>
          </cell>
          <cell r="U129">
            <v>5.3290705182007514E-15</v>
          </cell>
          <cell r="V129">
            <v>5.3290705182007514E-15</v>
          </cell>
          <cell r="W129">
            <v>5.3290705182007514E-15</v>
          </cell>
          <cell r="X129">
            <v>5.3290705182007514E-15</v>
          </cell>
          <cell r="Y129">
            <v>5.3290705182007514E-15</v>
          </cell>
          <cell r="Z129">
            <v>5.3290705182007514E-15</v>
          </cell>
          <cell r="AA129">
            <v>5.3290705182007514E-15</v>
          </cell>
          <cell r="AB129">
            <v>5.3290705182007514E-15</v>
          </cell>
          <cell r="AF129">
            <v>5.3290705182007514E-15</v>
          </cell>
          <cell r="AH129">
            <v>5.3290705182007514E-15</v>
          </cell>
          <cell r="AI129">
            <v>5.3290705182007514E-15</v>
          </cell>
          <cell r="AJ129">
            <v>5.3290705182007514E-15</v>
          </cell>
          <cell r="AK129">
            <v>5.3290705182007514E-15</v>
          </cell>
          <cell r="AL129">
            <v>5.3290705182007514E-15</v>
          </cell>
        </row>
        <row r="130">
          <cell r="N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F130">
            <v>0</v>
          </cell>
          <cell r="AH130">
            <v>7.7715611723760958E-16</v>
          </cell>
          <cell r="AI130">
            <v>7.7715611723760958E-16</v>
          </cell>
          <cell r="AJ130">
            <v>7.7715611723760958E-16</v>
          </cell>
          <cell r="AK130">
            <v>7.7715611723760958E-16</v>
          </cell>
          <cell r="AL130">
            <v>7.7715611723760958E-16</v>
          </cell>
        </row>
        <row r="131">
          <cell r="N131">
            <v>0</v>
          </cell>
          <cell r="P131">
            <v>0</v>
          </cell>
          <cell r="Q131">
            <v>0</v>
          </cell>
          <cell r="R131">
            <v>0</v>
          </cell>
          <cell r="S131">
            <v>0</v>
          </cell>
          <cell r="T131">
            <v>0</v>
          </cell>
          <cell r="U131">
            <v>5.773159728050814E-15</v>
          </cell>
          <cell r="V131">
            <v>5.773159728050814E-15</v>
          </cell>
          <cell r="W131">
            <v>5.773159728050814E-15</v>
          </cell>
          <cell r="X131">
            <v>5.773159728050814E-15</v>
          </cell>
          <cell r="Y131">
            <v>5.773159728050814E-15</v>
          </cell>
          <cell r="Z131">
            <v>5.773159728050814E-15</v>
          </cell>
          <cell r="AA131">
            <v>5.773159728050814E-15</v>
          </cell>
          <cell r="AB131">
            <v>5.773159728050814E-15</v>
          </cell>
          <cell r="AF131">
            <v>5.773159728050814E-15</v>
          </cell>
          <cell r="AH131">
            <v>5.773159728050814E-15</v>
          </cell>
          <cell r="AI131">
            <v>5.773159728050814E-15</v>
          </cell>
          <cell r="AJ131">
            <v>5.773159728050814E-15</v>
          </cell>
          <cell r="AK131">
            <v>5.773159728050814E-15</v>
          </cell>
          <cell r="AL131">
            <v>5.773159728050814E-15</v>
          </cell>
        </row>
        <row r="134">
          <cell r="N134">
            <v>0.77377777777777723</v>
          </cell>
          <cell r="P134">
            <v>0.77377777777777723</v>
          </cell>
          <cell r="Q134">
            <v>0.77377777777777723</v>
          </cell>
          <cell r="R134">
            <v>0.77377777777777723</v>
          </cell>
          <cell r="S134">
            <v>0.77377777777777723</v>
          </cell>
          <cell r="T134">
            <v>0.77377777777777723</v>
          </cell>
          <cell r="U134">
            <v>0.77377777777777723</v>
          </cell>
          <cell r="V134">
            <v>0.77377777777777723</v>
          </cell>
          <cell r="W134">
            <v>0.77377777777777723</v>
          </cell>
          <cell r="X134">
            <v>0.77377777777777723</v>
          </cell>
          <cell r="Y134">
            <v>0.77377777777777723</v>
          </cell>
          <cell r="Z134">
            <v>0.77377777777777723</v>
          </cell>
          <cell r="AA134">
            <v>0.77377777777777723</v>
          </cell>
          <cell r="AB134">
            <v>0.77377777777777723</v>
          </cell>
          <cell r="AF134">
            <v>0.77377777777777723</v>
          </cell>
          <cell r="AH134">
            <v>0.77377777777777723</v>
          </cell>
          <cell r="AI134">
            <v>0.77377777777777723</v>
          </cell>
          <cell r="AJ134">
            <v>0.77377777777777723</v>
          </cell>
          <cell r="AK134">
            <v>0.77377777777777723</v>
          </cell>
          <cell r="AL134">
            <v>0.77377777777777723</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P Characteristics"/>
      <sheetName val="Climate Data"/>
      <sheetName val="Energy"/>
      <sheetName val="Sheet1"/>
      <sheetName val="Back-up Energy"/>
      <sheetName val="HC_COP"/>
      <sheetName val="LA12MI EN14511 results vs. SAPQ"/>
      <sheetName val="LA12MI Comparison"/>
      <sheetName val="Bin Capacity comparison"/>
      <sheetName val="Mich's detailed Bin"/>
      <sheetName val="Sheet3"/>
      <sheetName val="HEAT PUMP"/>
      <sheetName val="MIT"/>
      <sheetName val="HP MIT"/>
    </sheetNames>
    <sheetDataSet>
      <sheetData sheetId="0" refreshError="1"/>
      <sheetData sheetId="1">
        <row r="14">
          <cell r="D14">
            <v>12294.022706307569</v>
          </cell>
        </row>
        <row r="15">
          <cell r="D15">
            <v>2124.0972222222226</v>
          </cell>
        </row>
        <row r="19">
          <cell r="E19">
            <v>-5</v>
          </cell>
        </row>
      </sheetData>
      <sheetData sheetId="2"/>
      <sheetData sheetId="3"/>
      <sheetData sheetId="4"/>
      <sheetData sheetId="5"/>
      <sheetData sheetId="6" refreshError="1"/>
      <sheetData sheetId="7" refreshError="1"/>
      <sheetData sheetId="8" refreshError="1"/>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t Pump Tool"/>
      <sheetName val="Zone1"/>
      <sheetName val="Scope"/>
      <sheetName val="ErP Inputs"/>
      <sheetName val="LOW SCOP"/>
      <sheetName val="MEDIUM SCOP"/>
      <sheetName val="HIGH SCOP"/>
      <sheetName val="VERY HIGH SCOP"/>
      <sheetName val="Version Control"/>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A136"/>
  <sheetViews>
    <sheetView tabSelected="1" topLeftCell="A118" zoomScale="90" zoomScaleNormal="70" workbookViewId="0">
      <selection activeCell="B107" sqref="B107"/>
    </sheetView>
  </sheetViews>
  <sheetFormatPr defaultColWidth="9.140625" defaultRowHeight="15.75" x14ac:dyDescent="0.25"/>
  <cols>
    <col min="1" max="1" width="65.7109375" style="92" customWidth="1"/>
    <col min="2" max="2" width="43.140625" style="92" customWidth="1"/>
    <col min="3" max="3" width="17.5703125" style="92" customWidth="1"/>
    <col min="4" max="4" width="18.7109375" style="107" customWidth="1"/>
    <col min="5" max="5" width="13.7109375" style="107" customWidth="1"/>
    <col min="6" max="6" width="19.7109375" style="107" customWidth="1"/>
    <col min="7" max="7" width="12.85546875" style="92" customWidth="1"/>
    <col min="8" max="8" width="27.28515625" style="96" customWidth="1"/>
    <col min="9" max="9" width="25.7109375" style="97" customWidth="1"/>
    <col min="10" max="10" width="25.7109375" style="101" customWidth="1"/>
    <col min="11" max="13" width="25.7109375" style="97" customWidth="1"/>
    <col min="14" max="14" width="11.42578125" style="92" customWidth="1"/>
    <col min="15" max="22" width="9.140625" style="92"/>
    <col min="23" max="23" width="35.5703125" style="92" customWidth="1"/>
    <col min="24" max="16384" width="9.140625" style="92"/>
  </cols>
  <sheetData>
    <row r="1" spans="1:157" ht="33.75" customHeight="1" x14ac:dyDescent="0.35">
      <c r="A1" s="219" t="s">
        <v>66</v>
      </c>
      <c r="B1" s="219"/>
      <c r="C1" s="219"/>
      <c r="D1" s="219"/>
      <c r="E1" s="49"/>
      <c r="F1" s="49"/>
      <c r="G1" s="35"/>
      <c r="H1" s="160"/>
      <c r="I1" s="161"/>
      <c r="J1" s="160"/>
      <c r="K1" s="161"/>
      <c r="L1" s="160"/>
      <c r="M1" s="161"/>
      <c r="N1" s="35" t="s">
        <v>18</v>
      </c>
      <c r="O1" s="35" t="s">
        <v>56</v>
      </c>
      <c r="P1" s="35" t="s">
        <v>58</v>
      </c>
      <c r="Q1" s="35"/>
      <c r="R1" s="35"/>
      <c r="S1" s="35" t="s">
        <v>142</v>
      </c>
      <c r="T1" s="35"/>
      <c r="U1" s="91" t="s">
        <v>42</v>
      </c>
      <c r="V1" s="35"/>
      <c r="W1" s="91" t="s">
        <v>49</v>
      </c>
      <c r="X1" s="35"/>
      <c r="Y1" s="35"/>
      <c r="Z1" s="35" t="s">
        <v>54</v>
      </c>
      <c r="AA1" s="35"/>
      <c r="AB1" s="35" t="s">
        <v>56</v>
      </c>
      <c r="AC1" s="35"/>
      <c r="AD1" s="35" t="s">
        <v>174</v>
      </c>
      <c r="AE1" s="35"/>
      <c r="AF1" s="35"/>
      <c r="AG1" s="35" t="s">
        <v>165</v>
      </c>
      <c r="AH1" s="35"/>
      <c r="AI1" s="35"/>
      <c r="AJ1" s="35"/>
      <c r="AK1" s="35"/>
      <c r="AL1" t="s">
        <v>379</v>
      </c>
      <c r="AM1" s="35" t="s">
        <v>0</v>
      </c>
      <c r="AN1" s="35">
        <f>IF(B28="I.S. EN 14825",IF(D44="",0,1),0)</f>
        <v>0</v>
      </c>
      <c r="AO1" s="35"/>
      <c r="AP1" s="35">
        <v>8</v>
      </c>
      <c r="AQ1" s="35"/>
      <c r="AR1" s="35" t="s">
        <v>402</v>
      </c>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row>
    <row r="2" spans="1:157" ht="53.25" customHeight="1" x14ac:dyDescent="0.25">
      <c r="A2" s="93" t="s">
        <v>419</v>
      </c>
      <c r="B2" s="5"/>
      <c r="C2" s="6"/>
      <c r="D2" s="59"/>
      <c r="E2" s="59"/>
      <c r="F2" s="59"/>
      <c r="G2" s="35"/>
      <c r="H2" s="136"/>
      <c r="I2" s="137"/>
      <c r="J2" s="138"/>
      <c r="K2" s="137"/>
      <c r="L2" s="137"/>
      <c r="M2" s="137"/>
      <c r="N2" s="35" t="s">
        <v>15</v>
      </c>
      <c r="O2" s="35" t="s">
        <v>57</v>
      </c>
      <c r="P2" s="35" t="s">
        <v>59</v>
      </c>
      <c r="Q2" s="35"/>
      <c r="R2" s="35"/>
      <c r="S2" s="35" t="s">
        <v>151</v>
      </c>
      <c r="T2" s="35"/>
      <c r="U2" s="91" t="s">
        <v>24</v>
      </c>
      <c r="V2" s="35"/>
      <c r="W2" s="91" t="s">
        <v>50</v>
      </c>
      <c r="X2" s="35">
        <f>B51</f>
        <v>2.19</v>
      </c>
      <c r="Y2" s="35"/>
      <c r="Z2" s="35" t="s">
        <v>55</v>
      </c>
      <c r="AA2" s="35"/>
      <c r="AB2" s="35" t="s">
        <v>57</v>
      </c>
      <c r="AC2" s="35"/>
      <c r="AD2" s="35" t="s">
        <v>109</v>
      </c>
      <c r="AE2" s="35"/>
      <c r="AF2" s="35"/>
      <c r="AG2" s="35" t="s">
        <v>166</v>
      </c>
      <c r="AH2" s="35"/>
      <c r="AI2" s="35"/>
      <c r="AJ2" s="35"/>
      <c r="AK2" s="35"/>
      <c r="AL2" t="s">
        <v>380</v>
      </c>
      <c r="AM2" s="35"/>
      <c r="AN2" s="35">
        <f>IF(B28="I.S. EN 14825",IF(D78="",0,1),0)</f>
        <v>0</v>
      </c>
      <c r="AO2" s="35"/>
      <c r="AP2" s="35">
        <v>16</v>
      </c>
      <c r="AQ2" s="35"/>
      <c r="AR2" s="35" t="s">
        <v>403</v>
      </c>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row>
    <row r="3" spans="1:157" ht="26.25" customHeight="1" x14ac:dyDescent="0.25">
      <c r="A3" s="93" t="s">
        <v>420</v>
      </c>
      <c r="B3" s="93"/>
      <c r="C3" s="93"/>
      <c r="D3" s="220" t="s">
        <v>46</v>
      </c>
      <c r="E3" s="220"/>
      <c r="F3" s="220"/>
      <c r="G3" s="220"/>
      <c r="H3" s="136"/>
      <c r="I3" s="137"/>
      <c r="J3" s="138"/>
      <c r="K3" s="137"/>
      <c r="L3" s="137"/>
      <c r="M3" s="137"/>
      <c r="N3" s="35" t="s">
        <v>16</v>
      </c>
      <c r="O3" s="35"/>
      <c r="P3" s="35" t="s">
        <v>60</v>
      </c>
      <c r="Q3" s="35"/>
      <c r="R3" s="35"/>
      <c r="S3" s="35" t="s">
        <v>141</v>
      </c>
      <c r="T3" s="35"/>
      <c r="U3" s="91" t="s">
        <v>153</v>
      </c>
      <c r="V3" s="35"/>
      <c r="W3" s="91" t="s">
        <v>155</v>
      </c>
      <c r="X3" s="35">
        <v>1.1000000000000001</v>
      </c>
      <c r="Y3" s="35"/>
      <c r="Z3" s="35"/>
      <c r="AA3" s="35"/>
      <c r="AB3" s="35"/>
      <c r="AC3" s="35"/>
      <c r="AD3" s="35" t="s">
        <v>149</v>
      </c>
      <c r="AE3" s="35"/>
      <c r="AF3" s="35"/>
      <c r="AG3" s="35" t="s">
        <v>201</v>
      </c>
      <c r="AH3" s="35"/>
      <c r="AI3" s="35"/>
      <c r="AJ3" s="35"/>
      <c r="AK3" s="35"/>
      <c r="AL3" t="s">
        <v>381</v>
      </c>
      <c r="AM3" s="35"/>
      <c r="AN3" s="35">
        <f>SUM(AN1:AN2)</f>
        <v>0</v>
      </c>
      <c r="AO3" s="35"/>
      <c r="AP3" s="35">
        <v>24</v>
      </c>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row>
    <row r="4" spans="1:157" ht="24.75" customHeight="1" thickBot="1" x14ac:dyDescent="0.3">
      <c r="A4" s="94" t="s">
        <v>1</v>
      </c>
      <c r="B4" s="94" t="s">
        <v>3</v>
      </c>
      <c r="C4" s="94" t="s">
        <v>2</v>
      </c>
      <c r="D4" s="215" t="s">
        <v>137</v>
      </c>
      <c r="E4" s="215"/>
      <c r="F4" s="215"/>
      <c r="G4" s="215"/>
      <c r="H4" s="136"/>
      <c r="I4" s="137"/>
      <c r="J4" s="138"/>
      <c r="K4" s="137"/>
      <c r="L4" s="137"/>
      <c r="M4" s="137"/>
      <c r="N4" s="35" t="s">
        <v>17</v>
      </c>
      <c r="O4" s="35"/>
      <c r="P4" s="35"/>
      <c r="Q4" s="35"/>
      <c r="R4" s="35"/>
      <c r="S4" s="35" t="s">
        <v>23</v>
      </c>
      <c r="T4" s="35"/>
      <c r="U4" s="91" t="s">
        <v>152</v>
      </c>
      <c r="V4" s="35"/>
      <c r="W4" s="91" t="s">
        <v>239</v>
      </c>
      <c r="X4" s="35">
        <v>1.1000000000000001</v>
      </c>
      <c r="Y4" s="35"/>
      <c r="Z4" s="35"/>
      <c r="AA4" s="35"/>
      <c r="AB4" s="35"/>
      <c r="AC4" s="35"/>
      <c r="AD4" s="35" t="s">
        <v>150</v>
      </c>
      <c r="AE4" s="35"/>
      <c r="AF4" s="35"/>
      <c r="AG4" s="35" t="s">
        <v>202</v>
      </c>
      <c r="AH4" s="35"/>
      <c r="AI4" s="35"/>
      <c r="AJ4" s="35"/>
      <c r="AK4" s="35"/>
      <c r="AL4" t="s">
        <v>225</v>
      </c>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ht="49.5" customHeight="1" thickBot="1" x14ac:dyDescent="0.3">
      <c r="A5" s="4"/>
      <c r="B5" s="7" t="s">
        <v>46</v>
      </c>
      <c r="C5" s="4"/>
      <c r="D5" s="60"/>
      <c r="E5" s="60"/>
      <c r="F5" s="60"/>
      <c r="G5" s="35"/>
      <c r="H5" s="136"/>
      <c r="I5" s="137"/>
      <c r="J5" s="138"/>
      <c r="K5" s="137"/>
      <c r="L5" s="137"/>
      <c r="M5" s="137"/>
      <c r="N5" s="35"/>
      <c r="O5" s="35"/>
      <c r="P5" s="35"/>
      <c r="Q5" s="35"/>
      <c r="R5" s="35"/>
      <c r="S5" s="35" t="s">
        <v>230</v>
      </c>
      <c r="T5" s="35"/>
      <c r="U5" s="91" t="s">
        <v>43</v>
      </c>
      <c r="V5" s="35"/>
      <c r="W5" s="91" t="s">
        <v>156</v>
      </c>
      <c r="X5" s="35">
        <v>1.1000000000000001</v>
      </c>
      <c r="Y5" s="35"/>
      <c r="Z5" s="35"/>
      <c r="AA5" s="35"/>
      <c r="AB5" s="35"/>
      <c r="AC5" s="35"/>
      <c r="AD5" s="35"/>
      <c r="AE5" s="35"/>
      <c r="AF5" s="35"/>
      <c r="AG5" s="35"/>
      <c r="AH5" s="35"/>
      <c r="AI5" s="35"/>
      <c r="AJ5" s="35"/>
      <c r="AK5" s="35"/>
      <c r="AL5" t="s">
        <v>226</v>
      </c>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30" customHeight="1" thickBot="1" x14ac:dyDescent="0.3">
      <c r="A6" s="56" t="s">
        <v>61</v>
      </c>
      <c r="B6" s="95"/>
      <c r="C6" s="57"/>
      <c r="D6" s="61" t="s">
        <v>46</v>
      </c>
      <c r="E6" s="61"/>
      <c r="F6" s="61"/>
      <c r="G6" s="35"/>
      <c r="H6" s="136"/>
      <c r="I6" s="137"/>
      <c r="J6" s="138"/>
      <c r="K6" s="137"/>
      <c r="L6" s="137"/>
      <c r="M6" s="137"/>
      <c r="N6" s="35"/>
      <c r="O6" s="35"/>
      <c r="P6" s="35"/>
      <c r="Q6" s="35"/>
      <c r="R6" s="35"/>
      <c r="S6" s="35" t="s">
        <v>231</v>
      </c>
      <c r="T6" s="35"/>
      <c r="U6" s="91" t="s">
        <v>46</v>
      </c>
      <c r="V6" s="35"/>
      <c r="W6" s="91" t="s">
        <v>358</v>
      </c>
      <c r="X6" s="35">
        <v>1.3</v>
      </c>
      <c r="Y6" s="35"/>
      <c r="Z6" s="35"/>
      <c r="AA6" s="35"/>
      <c r="AB6" s="35"/>
      <c r="AC6" s="35"/>
      <c r="AD6" s="35"/>
      <c r="AE6" s="35"/>
      <c r="AF6" s="35"/>
      <c r="AG6" s="35"/>
      <c r="AH6" s="35"/>
      <c r="AI6" s="35"/>
      <c r="AJ6" s="35"/>
      <c r="AK6" s="35"/>
      <c r="AL6" t="s">
        <v>227</v>
      </c>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row>
    <row r="7" spans="1:157" ht="30" customHeight="1" x14ac:dyDescent="0.25">
      <c r="A7" s="52" t="s">
        <v>26</v>
      </c>
      <c r="B7" s="54" t="s">
        <v>46</v>
      </c>
      <c r="D7" s="96"/>
      <c r="E7" s="96"/>
      <c r="F7" s="96"/>
      <c r="G7" s="35"/>
      <c r="H7" s="136"/>
      <c r="I7" s="137"/>
      <c r="J7" s="138"/>
      <c r="K7" s="137"/>
      <c r="L7" s="137"/>
      <c r="M7" s="137"/>
      <c r="N7" s="35"/>
      <c r="O7" s="35"/>
      <c r="P7" s="35"/>
      <c r="Q7" s="35"/>
      <c r="R7" s="35"/>
      <c r="S7" s="35" t="s">
        <v>232</v>
      </c>
      <c r="T7" s="35"/>
      <c r="U7" s="91"/>
      <c r="V7" s="35"/>
      <c r="W7" s="91" t="s">
        <v>359</v>
      </c>
      <c r="X7" s="35">
        <v>1.34</v>
      </c>
      <c r="Y7" s="35"/>
      <c r="Z7" s="35"/>
      <c r="AA7" s="35"/>
      <c r="AB7" s="35"/>
      <c r="AC7" s="35"/>
      <c r="AD7" s="35"/>
      <c r="AE7" s="35"/>
      <c r="AF7" s="35"/>
      <c r="AG7" s="35"/>
      <c r="AH7" s="35"/>
      <c r="AI7" s="35"/>
      <c r="AJ7" s="35"/>
      <c r="AK7" s="35"/>
      <c r="AL7" t="s">
        <v>228</v>
      </c>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30" customHeight="1" x14ac:dyDescent="0.25">
      <c r="A8" s="29" t="s">
        <v>62</v>
      </c>
      <c r="B8" s="1" t="s">
        <v>46</v>
      </c>
      <c r="D8" s="96"/>
      <c r="E8" s="96"/>
      <c r="F8" s="96"/>
      <c r="G8" s="35"/>
      <c r="H8" s="136"/>
      <c r="I8" s="137"/>
      <c r="J8" s="138"/>
      <c r="K8" s="137"/>
      <c r="L8" s="137"/>
      <c r="M8" s="137"/>
      <c r="N8" s="35"/>
      <c r="O8" s="35"/>
      <c r="P8" s="35"/>
      <c r="Q8" s="35"/>
      <c r="R8" s="35"/>
      <c r="S8" s="35"/>
      <c r="T8" s="35"/>
      <c r="U8" s="91"/>
      <c r="V8" s="35"/>
      <c r="W8" s="91" t="s">
        <v>240</v>
      </c>
      <c r="X8" s="35">
        <v>1.1000000000000001</v>
      </c>
      <c r="Y8" s="35"/>
      <c r="Z8" s="35"/>
      <c r="AA8" s="35"/>
      <c r="AB8" s="35"/>
      <c r="AC8" s="35"/>
      <c r="AD8" s="35"/>
      <c r="AE8" s="35"/>
      <c r="AF8" s="35"/>
      <c r="AG8" s="35"/>
      <c r="AH8" s="35"/>
      <c r="AI8" s="35"/>
      <c r="AJ8" s="35"/>
      <c r="AK8" s="35"/>
      <c r="AL8" t="s">
        <v>229</v>
      </c>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row>
    <row r="9" spans="1:157" ht="30" customHeight="1" x14ac:dyDescent="0.25">
      <c r="A9" s="29" t="s">
        <v>132</v>
      </c>
      <c r="B9" s="1" t="s">
        <v>46</v>
      </c>
      <c r="D9" s="96"/>
      <c r="E9" s="96"/>
      <c r="F9" s="96"/>
      <c r="G9" s="35"/>
      <c r="H9" s="136"/>
      <c r="I9" s="137"/>
      <c r="J9" s="138"/>
      <c r="K9" s="137"/>
      <c r="L9" s="137"/>
      <c r="M9" s="137"/>
      <c r="N9" s="35"/>
      <c r="O9" s="35"/>
      <c r="P9" s="35"/>
      <c r="Q9" s="35"/>
      <c r="R9" s="35"/>
      <c r="S9" s="35"/>
      <c r="T9" s="35"/>
      <c r="U9" s="35"/>
      <c r="V9" s="35"/>
      <c r="W9" s="35" t="s">
        <v>157</v>
      </c>
      <c r="X9" s="35">
        <v>1.2</v>
      </c>
      <c r="Y9" s="35"/>
      <c r="Z9" s="35"/>
      <c r="AA9" s="35"/>
      <c r="AB9" s="35"/>
      <c r="AC9" s="35"/>
      <c r="AD9" s="35"/>
      <c r="AE9" s="35"/>
      <c r="AF9" s="35"/>
      <c r="AG9" s="35"/>
      <c r="AH9" s="35"/>
      <c r="AI9" s="35"/>
      <c r="AJ9" s="35"/>
      <c r="AK9" s="35"/>
      <c r="AL9" t="s">
        <v>382</v>
      </c>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30" customHeight="1" x14ac:dyDescent="0.25">
      <c r="A10" s="29" t="s">
        <v>133</v>
      </c>
      <c r="B10" s="1"/>
      <c r="D10" s="96"/>
      <c r="E10" s="96"/>
      <c r="F10" s="96"/>
      <c r="G10" s="35"/>
      <c r="H10" s="136"/>
      <c r="I10" s="137"/>
      <c r="J10" s="138"/>
      <c r="K10" s="137"/>
      <c r="L10" s="137"/>
      <c r="M10" s="137"/>
      <c r="N10" s="35"/>
      <c r="O10" s="35"/>
      <c r="P10" s="35"/>
      <c r="Q10" s="35"/>
      <c r="R10" s="35"/>
      <c r="S10" s="35"/>
      <c r="T10" s="35"/>
      <c r="U10" s="35"/>
      <c r="V10" s="35"/>
      <c r="W10" s="35" t="s">
        <v>158</v>
      </c>
      <c r="X10" s="35">
        <v>1.1000000000000001</v>
      </c>
      <c r="Y10" s="35"/>
      <c r="Z10" s="35"/>
      <c r="AA10" s="35"/>
      <c r="AB10" s="35"/>
      <c r="AC10" s="35"/>
      <c r="AD10" s="35"/>
      <c r="AE10" s="35"/>
      <c r="AF10" s="35"/>
      <c r="AG10" s="35"/>
      <c r="AH10" s="35"/>
      <c r="AI10" s="35"/>
      <c r="AJ10" s="35"/>
      <c r="AK10" s="35"/>
      <c r="AL10" t="s">
        <v>383</v>
      </c>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row>
    <row r="11" spans="1:157" ht="30" customHeight="1" thickBot="1" x14ac:dyDescent="0.3">
      <c r="A11" s="55" t="s">
        <v>27</v>
      </c>
      <c r="B11" s="51" t="s">
        <v>46</v>
      </c>
      <c r="D11" s="96"/>
      <c r="E11" s="96"/>
      <c r="F11" s="96"/>
      <c r="G11" s="35"/>
      <c r="H11" s="136"/>
      <c r="I11" s="137"/>
      <c r="J11" s="138"/>
      <c r="K11" s="137"/>
      <c r="L11" s="137"/>
      <c r="M11" s="137"/>
      <c r="N11" s="35"/>
      <c r="O11" s="35"/>
      <c r="P11" s="35"/>
      <c r="Q11" s="35"/>
      <c r="R11" s="35"/>
      <c r="S11" s="35"/>
      <c r="T11" s="35"/>
      <c r="U11" s="35"/>
      <c r="V11" s="35"/>
      <c r="W11" s="35" t="s">
        <v>241</v>
      </c>
      <c r="X11" s="35">
        <v>1.1000000000000001</v>
      </c>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row>
    <row r="12" spans="1:157" ht="30" customHeight="1" thickBot="1" x14ac:dyDescent="0.3">
      <c r="A12" s="56" t="s">
        <v>134</v>
      </c>
      <c r="B12" s="95"/>
      <c r="C12" s="57"/>
      <c r="D12" s="61"/>
      <c r="E12" s="61"/>
      <c r="F12" s="61"/>
      <c r="G12" s="35"/>
      <c r="H12" s="136"/>
      <c r="I12" s="137"/>
      <c r="J12" s="138"/>
      <c r="K12" s="137"/>
      <c r="L12" s="137"/>
      <c r="M12" s="137"/>
      <c r="N12" s="35"/>
      <c r="O12" s="35"/>
      <c r="P12" s="35"/>
      <c r="Q12" s="35"/>
      <c r="R12" s="35"/>
      <c r="S12" s="35"/>
      <c r="T12" s="35"/>
      <c r="U12" s="35"/>
      <c r="V12" s="35"/>
      <c r="W12" s="35" t="s">
        <v>159</v>
      </c>
      <c r="X12" s="35">
        <v>1.1000000000000001</v>
      </c>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row>
    <row r="13" spans="1:157" ht="30" customHeight="1" x14ac:dyDescent="0.25">
      <c r="A13" s="52" t="s">
        <v>135</v>
      </c>
      <c r="B13" s="54"/>
      <c r="D13" s="96"/>
      <c r="E13" s="96"/>
      <c r="F13" s="96"/>
      <c r="G13" s="35"/>
      <c r="H13" s="136"/>
      <c r="I13" s="137"/>
      <c r="J13" s="138"/>
      <c r="K13" s="137"/>
      <c r="L13" s="137"/>
      <c r="M13" s="137"/>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row>
    <row r="14" spans="1:157" ht="30" customHeight="1" thickBot="1" x14ac:dyDescent="0.3">
      <c r="A14" s="50" t="s">
        <v>136</v>
      </c>
      <c r="B14" s="51"/>
      <c r="D14" s="96"/>
      <c r="E14" s="96"/>
      <c r="F14" s="96"/>
      <c r="G14" s="35"/>
      <c r="H14" s="136"/>
      <c r="I14" s="137"/>
      <c r="J14" s="138"/>
      <c r="K14" s="137"/>
      <c r="L14" s="137"/>
      <c r="M14" s="137"/>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row>
    <row r="15" spans="1:157" ht="30" customHeight="1" thickBot="1" x14ac:dyDescent="0.3">
      <c r="A15" s="56" t="s">
        <v>348</v>
      </c>
      <c r="B15" s="95"/>
      <c r="C15" s="57"/>
      <c r="D15" s="61"/>
      <c r="E15" s="61"/>
      <c r="F15" s="61"/>
      <c r="G15" s="35"/>
      <c r="H15" s="136"/>
      <c r="I15" s="137"/>
      <c r="J15" s="138"/>
      <c r="K15" s="137"/>
      <c r="L15" s="137"/>
      <c r="M15" s="137"/>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ht="30" customHeight="1" x14ac:dyDescent="0.25">
      <c r="A16" s="52" t="s">
        <v>138</v>
      </c>
      <c r="B16" s="54" t="s">
        <v>46</v>
      </c>
      <c r="C16" s="92" t="s">
        <v>353</v>
      </c>
      <c r="D16" s="216" t="s">
        <v>28</v>
      </c>
      <c r="E16" s="216"/>
      <c r="F16" s="216"/>
      <c r="G16" s="35"/>
      <c r="H16" s="136"/>
      <c r="I16" s="137"/>
      <c r="J16" s="138"/>
      <c r="K16" s="137"/>
      <c r="L16" s="137"/>
      <c r="M16" s="137"/>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row>
    <row r="17" spans="1:157" ht="30" customHeight="1" x14ac:dyDescent="0.25">
      <c r="A17" s="29" t="s">
        <v>67</v>
      </c>
      <c r="B17" s="98" t="e">
        <f>IF(B18="No",(B16*(B39-B38)),(B16*B19/B20)*B21*(B39-B38))</f>
        <v>#VALUE!</v>
      </c>
      <c r="C17" s="92" t="s">
        <v>139</v>
      </c>
      <c r="D17" s="216" t="s">
        <v>354</v>
      </c>
      <c r="E17" s="216"/>
      <c r="F17" s="216"/>
      <c r="G17" s="35"/>
      <c r="H17" s="136"/>
      <c r="I17" s="137"/>
      <c r="J17" s="138"/>
      <c r="K17" s="137"/>
      <c r="L17" s="137"/>
      <c r="M17" s="137"/>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row>
    <row r="18" spans="1:157" ht="30" customHeight="1" x14ac:dyDescent="0.25">
      <c r="A18" s="29" t="s">
        <v>22</v>
      </c>
      <c r="B18" s="1" t="s">
        <v>57</v>
      </c>
      <c r="D18" s="96"/>
      <c r="E18" s="96"/>
      <c r="F18" s="96"/>
      <c r="G18" s="35"/>
      <c r="H18" s="136"/>
      <c r="I18" s="137"/>
      <c r="J18" s="138"/>
      <c r="K18" s="137"/>
      <c r="L18" s="137"/>
      <c r="M18" s="137"/>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row>
    <row r="19" spans="1:157" ht="30" customHeight="1" x14ac:dyDescent="0.25">
      <c r="A19" s="29" t="s">
        <v>192</v>
      </c>
      <c r="B19" s="86">
        <v>0</v>
      </c>
      <c r="C19" s="92" t="s">
        <v>193</v>
      </c>
      <c r="D19" s="96"/>
      <c r="E19" s="96"/>
      <c r="F19" s="96"/>
      <c r="G19" s="35"/>
      <c r="H19" s="136"/>
      <c r="I19" s="137"/>
      <c r="J19" s="138"/>
      <c r="K19" s="137"/>
      <c r="L19" s="137"/>
      <c r="M19" s="137"/>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row>
    <row r="20" spans="1:157" ht="30" customHeight="1" x14ac:dyDescent="0.25">
      <c r="A20" s="29" t="s">
        <v>13</v>
      </c>
      <c r="B20" s="1">
        <v>0</v>
      </c>
      <c r="C20" s="92" t="s">
        <v>206</v>
      </c>
      <c r="D20" s="216" t="s">
        <v>14</v>
      </c>
      <c r="E20" s="216"/>
      <c r="F20" s="216"/>
      <c r="G20" s="35"/>
      <c r="H20" s="136"/>
      <c r="I20" s="137"/>
      <c r="J20" s="138"/>
      <c r="K20" s="137"/>
      <c r="L20" s="137"/>
      <c r="M20" s="137"/>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row>
    <row r="21" spans="1:157" ht="30" customHeight="1" thickBot="1" x14ac:dyDescent="0.3">
      <c r="A21" s="50" t="s">
        <v>12</v>
      </c>
      <c r="B21" s="51">
        <v>0</v>
      </c>
      <c r="C21" s="92" t="s">
        <v>206</v>
      </c>
      <c r="D21" s="96"/>
      <c r="E21" s="96"/>
      <c r="F21" s="96"/>
      <c r="G21" s="35"/>
      <c r="H21" s="136"/>
      <c r="I21" s="137"/>
      <c r="J21" s="138"/>
      <c r="K21" s="137"/>
      <c r="L21" s="137"/>
      <c r="M21" s="137"/>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row>
    <row r="22" spans="1:157" ht="30" customHeight="1" thickBot="1" x14ac:dyDescent="0.3">
      <c r="A22" s="56" t="s">
        <v>349</v>
      </c>
      <c r="B22" s="95"/>
      <c r="C22" s="58"/>
      <c r="D22" s="61"/>
      <c r="E22" s="61"/>
      <c r="F22" s="61"/>
      <c r="G22" s="35"/>
      <c r="H22" s="136"/>
      <c r="I22" s="137"/>
      <c r="J22" s="138"/>
      <c r="K22" s="137"/>
      <c r="L22" s="137"/>
      <c r="M22" s="137"/>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row>
    <row r="23" spans="1:157" ht="30" customHeight="1" x14ac:dyDescent="0.25">
      <c r="A23" s="52" t="s">
        <v>63</v>
      </c>
      <c r="B23" s="53" t="s">
        <v>426</v>
      </c>
      <c r="D23" s="221" t="s">
        <v>207</v>
      </c>
      <c r="E23" s="221"/>
      <c r="F23" s="221"/>
      <c r="G23" s="35"/>
      <c r="H23" s="136"/>
      <c r="I23" s="137"/>
      <c r="J23" s="138"/>
      <c r="K23" s="137"/>
      <c r="L23" s="137"/>
      <c r="M23" s="137"/>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row>
    <row r="24" spans="1:157" ht="30" customHeight="1" x14ac:dyDescent="0.25">
      <c r="A24" s="29" t="s">
        <v>64</v>
      </c>
      <c r="B24" s="3" t="s">
        <v>427</v>
      </c>
      <c r="D24" s="213" t="s">
        <v>207</v>
      </c>
      <c r="E24" s="213"/>
      <c r="F24" s="213"/>
      <c r="G24" s="35"/>
      <c r="H24" s="136"/>
      <c r="I24" s="137"/>
      <c r="J24" s="138"/>
      <c r="K24" s="137"/>
      <c r="L24" s="137"/>
      <c r="M24" s="137"/>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row>
    <row r="25" spans="1:157" ht="30" customHeight="1" x14ac:dyDescent="0.25">
      <c r="A25" s="29" t="s">
        <v>69</v>
      </c>
      <c r="B25" s="3" t="s">
        <v>142</v>
      </c>
      <c r="D25" s="213" t="s">
        <v>207</v>
      </c>
      <c r="E25" s="213"/>
      <c r="F25" s="213"/>
      <c r="G25" s="35"/>
      <c r="H25" s="136"/>
      <c r="I25" s="137"/>
      <c r="J25" s="138"/>
      <c r="K25" s="137"/>
      <c r="L25" s="137"/>
      <c r="M25" s="137"/>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row>
    <row r="26" spans="1:157" ht="30" customHeight="1" x14ac:dyDescent="0.25">
      <c r="A26" s="29" t="s">
        <v>400</v>
      </c>
      <c r="B26" s="3" t="s">
        <v>55</v>
      </c>
      <c r="D26" s="213" t="s">
        <v>208</v>
      </c>
      <c r="E26" s="213"/>
      <c r="F26" s="213"/>
      <c r="G26" s="35"/>
      <c r="H26" s="136"/>
      <c r="I26" s="137"/>
      <c r="J26" s="138"/>
      <c r="K26" s="137"/>
      <c r="L26" s="137"/>
      <c r="M26" s="137"/>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row>
    <row r="27" spans="1:157" ht="30" customHeight="1" x14ac:dyDescent="0.25">
      <c r="A27" s="29" t="s">
        <v>65</v>
      </c>
      <c r="B27" s="3" t="s">
        <v>60</v>
      </c>
      <c r="D27" s="212" t="s">
        <v>191</v>
      </c>
      <c r="E27" s="212"/>
      <c r="F27" s="212"/>
      <c r="G27" s="35"/>
      <c r="H27" s="136"/>
      <c r="I27" s="137"/>
      <c r="J27" s="138"/>
      <c r="K27" s="137"/>
      <c r="L27" s="137"/>
      <c r="M27" s="137"/>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row>
    <row r="28" spans="1:157" ht="33" customHeight="1" x14ac:dyDescent="0.25">
      <c r="A28" s="29" t="s">
        <v>30</v>
      </c>
      <c r="B28" s="2" t="s">
        <v>18</v>
      </c>
      <c r="D28" s="213" t="s">
        <v>21</v>
      </c>
      <c r="E28" s="213"/>
      <c r="F28" s="213"/>
      <c r="G28" s="35"/>
      <c r="H28" s="136"/>
      <c r="I28" s="137"/>
      <c r="J28" s="136"/>
      <c r="K28" s="137"/>
      <c r="L28" s="137"/>
      <c r="M28" s="137"/>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row>
    <row r="29" spans="1:157" ht="30" customHeight="1" x14ac:dyDescent="0.25">
      <c r="A29" s="29" t="s">
        <v>31</v>
      </c>
      <c r="B29" s="2" t="s">
        <v>17</v>
      </c>
      <c r="D29" s="213" t="s">
        <v>21</v>
      </c>
      <c r="E29" s="213"/>
      <c r="F29" s="213"/>
      <c r="G29" s="35"/>
      <c r="H29" s="136"/>
      <c r="I29" s="137"/>
      <c r="J29" s="138"/>
      <c r="K29" s="137"/>
      <c r="L29" s="137"/>
      <c r="M29" s="137"/>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row>
    <row r="30" spans="1:157" ht="30" customHeight="1" x14ac:dyDescent="0.25">
      <c r="A30" s="48" t="s">
        <v>236</v>
      </c>
      <c r="B30" s="2">
        <v>-20</v>
      </c>
      <c r="C30" s="99" t="s">
        <v>32</v>
      </c>
      <c r="D30" s="213" t="s">
        <v>194</v>
      </c>
      <c r="E30" s="213"/>
      <c r="F30" s="213"/>
      <c r="G30" s="35"/>
      <c r="H30" s="136"/>
      <c r="I30" s="137"/>
      <c r="J30" s="138"/>
      <c r="K30" s="137"/>
      <c r="L30" s="137"/>
      <c r="M30" s="137"/>
      <c r="N30" s="35"/>
      <c r="O30" s="35" t="s">
        <v>195</v>
      </c>
      <c r="P30" s="35"/>
      <c r="Q30" s="35"/>
      <c r="R30" s="35"/>
      <c r="S30" s="35"/>
      <c r="T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row>
    <row r="31" spans="1:157" s="91" customFormat="1" ht="30" customHeight="1" thickBot="1" x14ac:dyDescent="0.3">
      <c r="A31" s="48" t="s">
        <v>355</v>
      </c>
      <c r="B31" s="2">
        <v>60</v>
      </c>
      <c r="C31" s="99" t="s">
        <v>32</v>
      </c>
      <c r="D31" s="213" t="s">
        <v>194</v>
      </c>
      <c r="E31" s="213"/>
      <c r="F31" s="213"/>
      <c r="G31" s="35"/>
      <c r="H31" s="136"/>
      <c r="I31" s="137"/>
      <c r="J31" s="138"/>
      <c r="K31" s="137"/>
      <c r="L31" s="137"/>
      <c r="M31" s="137"/>
      <c r="N31" s="92"/>
      <c r="O31" s="92"/>
      <c r="P31" s="92"/>
      <c r="Q31" s="92"/>
      <c r="R31" s="92"/>
      <c r="S31" s="92"/>
      <c r="T31" s="92"/>
      <c r="X31" s="92"/>
      <c r="Y31" s="92"/>
      <c r="Z31" s="92"/>
      <c r="AA31" s="92"/>
      <c r="AB31" s="92"/>
      <c r="AC31" s="92"/>
      <c r="AD31" s="92"/>
      <c r="AE31" s="92"/>
      <c r="AF31" s="92"/>
      <c r="AG31" s="92"/>
      <c r="AH31" s="92"/>
      <c r="AI31" s="92"/>
      <c r="AJ31" s="92"/>
      <c r="AK31" s="92"/>
      <c r="AL31" s="92"/>
      <c r="AM31" s="92"/>
      <c r="AN31" s="92"/>
      <c r="AO31" s="92"/>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row>
    <row r="32" spans="1:157" ht="30" customHeight="1" thickBot="1" x14ac:dyDescent="0.3">
      <c r="A32" s="100" t="s">
        <v>350</v>
      </c>
      <c r="B32" s="95"/>
      <c r="C32" s="95"/>
      <c r="D32" s="61"/>
      <c r="E32" s="61"/>
      <c r="F32" s="61"/>
      <c r="H32" s="139"/>
      <c r="I32" s="140"/>
      <c r="J32" s="141"/>
      <c r="K32" s="140"/>
      <c r="L32" s="140"/>
      <c r="M32" s="140"/>
      <c r="N32" s="91"/>
      <c r="O32" s="91"/>
      <c r="P32" s="91"/>
      <c r="Q32" s="91"/>
      <c r="R32" s="91"/>
      <c r="S32" s="91"/>
      <c r="T32" s="91"/>
      <c r="X32" s="91"/>
      <c r="Y32" s="91"/>
      <c r="Z32" s="91"/>
      <c r="AA32" s="91"/>
      <c r="AB32" s="91"/>
      <c r="AC32" s="91"/>
      <c r="AD32" s="91"/>
      <c r="AE32" s="91"/>
      <c r="AF32" s="91"/>
      <c r="AG32" s="91"/>
      <c r="AH32" s="91"/>
      <c r="AI32" s="91"/>
      <c r="AJ32" s="91"/>
      <c r="AK32" s="91"/>
      <c r="AL32" s="91"/>
      <c r="AM32" s="91"/>
      <c r="AN32" s="91"/>
      <c r="AO32" s="91"/>
    </row>
    <row r="33" spans="1:41" s="91" customFormat="1" ht="30" customHeight="1" x14ac:dyDescent="0.25">
      <c r="A33" s="102" t="s">
        <v>143</v>
      </c>
      <c r="B33" s="129" t="s">
        <v>264</v>
      </c>
      <c r="C33" s="92" t="s">
        <v>40</v>
      </c>
      <c r="D33" s="222" t="s">
        <v>33</v>
      </c>
      <c r="E33" s="222"/>
      <c r="F33" s="222"/>
      <c r="G33" s="92"/>
      <c r="H33" s="139"/>
      <c r="I33" s="140"/>
      <c r="J33" s="141"/>
      <c r="K33" s="140"/>
      <c r="L33" s="140"/>
      <c r="M33" s="140"/>
      <c r="U33" s="92"/>
      <c r="V33" s="92"/>
      <c r="W33" s="92"/>
    </row>
    <row r="34" spans="1:41" s="91" customFormat="1" ht="30" customHeight="1" x14ac:dyDescent="0.25">
      <c r="A34" s="103" t="s">
        <v>19</v>
      </c>
      <c r="B34" s="1" t="s">
        <v>57</v>
      </c>
      <c r="C34" s="92"/>
      <c r="D34" s="216" t="s">
        <v>237</v>
      </c>
      <c r="E34" s="216"/>
      <c r="F34" s="216"/>
      <c r="G34" s="92"/>
      <c r="H34" s="139"/>
      <c r="I34" s="140"/>
      <c r="J34" s="141"/>
      <c r="K34" s="140"/>
      <c r="L34" s="140"/>
      <c r="M34" s="140"/>
      <c r="U34" s="92"/>
      <c r="V34" s="92"/>
      <c r="W34" s="92"/>
    </row>
    <row r="35" spans="1:41" s="91" customFormat="1" ht="30" customHeight="1" x14ac:dyDescent="0.25">
      <c r="A35" s="103" t="s">
        <v>238</v>
      </c>
      <c r="B35" s="1" t="s">
        <v>57</v>
      </c>
      <c r="C35" s="92"/>
      <c r="D35" s="216" t="s">
        <v>237</v>
      </c>
      <c r="E35" s="216"/>
      <c r="F35" s="216"/>
      <c r="G35" s="92"/>
      <c r="H35" s="139"/>
      <c r="I35" s="140"/>
      <c r="J35" s="141"/>
      <c r="K35" s="140"/>
      <c r="L35" s="140"/>
      <c r="M35" s="140"/>
      <c r="U35" s="92"/>
      <c r="V35" s="92"/>
      <c r="W35" s="92"/>
    </row>
    <row r="36" spans="1:41" s="91" customFormat="1" ht="30" customHeight="1" x14ac:dyDescent="0.25">
      <c r="A36" s="103" t="s">
        <v>190</v>
      </c>
      <c r="B36" s="1">
        <v>0.1</v>
      </c>
      <c r="C36" s="92"/>
      <c r="D36" s="216" t="s">
        <v>237</v>
      </c>
      <c r="E36" s="216"/>
      <c r="F36" s="216"/>
      <c r="G36" s="92"/>
      <c r="H36" s="139"/>
      <c r="I36" s="142"/>
      <c r="J36" s="141"/>
      <c r="K36" s="140"/>
      <c r="L36" s="140"/>
      <c r="M36" s="140"/>
      <c r="U36" s="92"/>
      <c r="V36" s="92"/>
      <c r="W36" s="92"/>
    </row>
    <row r="37" spans="1:41" s="91" customFormat="1" ht="30" customHeight="1" x14ac:dyDescent="0.25">
      <c r="A37" s="103" t="s">
        <v>20</v>
      </c>
      <c r="B37" s="104" t="str">
        <f>IF(B34="No",IF(B35="No",B33,B33*(1-B36)),IF(B35="No",B33*0.9,B33*0.9*(1-B36)))</f>
        <v xml:space="preserve">  </v>
      </c>
      <c r="C37" s="92" t="s">
        <v>40</v>
      </c>
      <c r="D37" s="96"/>
      <c r="E37" s="96"/>
      <c r="F37" s="96"/>
      <c r="G37" s="92"/>
      <c r="H37" s="139"/>
      <c r="I37" s="142"/>
      <c r="J37" s="141"/>
      <c r="K37" s="140"/>
      <c r="L37" s="140"/>
      <c r="M37" s="140"/>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row>
    <row r="38" spans="1:41" ht="30" customHeight="1" x14ac:dyDescent="0.25">
      <c r="A38" s="105" t="s">
        <v>44</v>
      </c>
      <c r="B38" s="106">
        <v>-3</v>
      </c>
      <c r="C38" s="99" t="s">
        <v>32</v>
      </c>
      <c r="D38" s="216" t="s">
        <v>196</v>
      </c>
      <c r="E38" s="216"/>
      <c r="F38" s="216"/>
      <c r="G38" s="91"/>
      <c r="H38" s="139"/>
      <c r="I38" s="140"/>
      <c r="J38" s="141"/>
      <c r="K38" s="140"/>
      <c r="L38" s="140"/>
      <c r="M38" s="140"/>
    </row>
    <row r="39" spans="1:41" ht="47.25" customHeight="1" x14ac:dyDescent="0.25">
      <c r="A39" s="105" t="s">
        <v>172</v>
      </c>
      <c r="B39" s="130">
        <v>18.239999999999998</v>
      </c>
      <c r="C39" s="99" t="s">
        <v>32</v>
      </c>
      <c r="D39" s="216" t="s">
        <v>367</v>
      </c>
      <c r="E39" s="216"/>
      <c r="F39" s="216"/>
      <c r="H39" s="139"/>
      <c r="I39" s="140"/>
      <c r="J39" s="141"/>
      <c r="K39" s="137"/>
      <c r="L39" s="137"/>
      <c r="M39" s="137"/>
    </row>
    <row r="40" spans="1:41" ht="30" customHeight="1" x14ac:dyDescent="0.25">
      <c r="A40" s="103" t="s">
        <v>211</v>
      </c>
      <c r="B40" s="105" t="s">
        <v>356</v>
      </c>
      <c r="D40" s="92"/>
      <c r="E40" s="92"/>
      <c r="F40" s="92"/>
      <c r="H40" s="139"/>
      <c r="I40" s="140"/>
      <c r="J40" s="141"/>
      <c r="K40" s="140"/>
      <c r="L40" s="140"/>
      <c r="M40" s="140"/>
    </row>
    <row r="41" spans="1:41" ht="30" customHeight="1" x14ac:dyDescent="0.25">
      <c r="A41" s="103" t="s">
        <v>209</v>
      </c>
      <c r="B41" s="1" t="s">
        <v>57</v>
      </c>
      <c r="H41" s="139"/>
      <c r="I41" s="140"/>
      <c r="J41" s="141"/>
      <c r="K41" s="137"/>
      <c r="L41" s="137"/>
      <c r="M41" s="137"/>
    </row>
    <row r="42" spans="1:41" ht="30" customHeight="1" x14ac:dyDescent="0.25">
      <c r="A42" s="103" t="s">
        <v>210</v>
      </c>
      <c r="B42" s="1" t="s">
        <v>57</v>
      </c>
      <c r="D42" s="212" t="s">
        <v>154</v>
      </c>
      <c r="E42" s="212"/>
      <c r="F42" s="212"/>
      <c r="H42" s="139"/>
      <c r="I42" s="140"/>
      <c r="J42" s="141"/>
      <c r="K42" s="137"/>
      <c r="L42" s="137"/>
      <c r="M42" s="137"/>
    </row>
    <row r="43" spans="1:41" ht="30" customHeight="1" x14ac:dyDescent="0.25">
      <c r="A43" s="103" t="s">
        <v>25</v>
      </c>
      <c r="B43" s="1" t="s">
        <v>56</v>
      </c>
      <c r="D43" s="108">
        <f>IF(B44="Yes",35,IF(B41="Yes",55,IF(B42="Yes",45,35)))</f>
        <v>35</v>
      </c>
      <c r="E43" s="99" t="s">
        <v>32</v>
      </c>
      <c r="F43" s="157" t="s">
        <v>357</v>
      </c>
      <c r="H43" s="139"/>
      <c r="I43" s="140"/>
      <c r="J43" s="141"/>
      <c r="K43" s="137"/>
      <c r="L43" s="137"/>
      <c r="M43" s="137"/>
    </row>
    <row r="44" spans="1:41" ht="30" customHeight="1" x14ac:dyDescent="0.25">
      <c r="A44" s="103" t="s">
        <v>375</v>
      </c>
      <c r="B44" s="109" t="str">
        <f>IF(OR(B25="Water to Air",B25="Air to Air",B25="Brine to Air"),"Yes","No")</f>
        <v>No</v>
      </c>
      <c r="D44" s="223" t="str">
        <f>IF(B28="I.S. EN 14825",(IF(B45&gt;B31,"ERROR: Design Flow Temperature is greater than Heat Pumps Operating Limit, please correct","")),"")</f>
        <v/>
      </c>
      <c r="E44" s="224"/>
      <c r="F44" s="225"/>
      <c r="H44" s="139"/>
      <c r="I44" s="140"/>
      <c r="J44" s="141"/>
      <c r="K44" s="140"/>
      <c r="L44" s="140"/>
      <c r="M44" s="140"/>
      <c r="O44" s="91"/>
      <c r="P44" s="35"/>
      <c r="U44" s="91"/>
      <c r="V44" s="91"/>
      <c r="W44" s="91"/>
    </row>
    <row r="45" spans="1:41" ht="83.25" customHeight="1" x14ac:dyDescent="0.25">
      <c r="A45" s="110" t="s">
        <v>197</v>
      </c>
      <c r="B45" s="130">
        <v>35</v>
      </c>
      <c r="C45" s="99" t="s">
        <v>32</v>
      </c>
      <c r="D45" s="223" t="str">
        <f>(IF(B45&lt;D43,"WARNING: As Design Flow Temperature is less than Default, please ensure that documentary evidence is available to support it",""))</f>
        <v/>
      </c>
      <c r="E45" s="224"/>
      <c r="F45" s="225"/>
      <c r="H45" s="139"/>
      <c r="I45" s="140"/>
      <c r="J45" s="141"/>
      <c r="K45" s="140"/>
      <c r="L45" s="140"/>
      <c r="M45" s="140"/>
      <c r="N45" s="91"/>
      <c r="O45" s="91"/>
      <c r="P45" s="35"/>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row>
    <row r="46" spans="1:41" s="91" customFormat="1" ht="29.25" customHeight="1" x14ac:dyDescent="0.25">
      <c r="A46" s="105" t="s">
        <v>34</v>
      </c>
      <c r="B46" s="104">
        <f>IF(B44="Yes",1,1.2)</f>
        <v>1.2</v>
      </c>
      <c r="D46" s="226" t="s">
        <v>235</v>
      </c>
      <c r="E46" s="226"/>
      <c r="F46" s="226"/>
      <c r="H46" s="139"/>
      <c r="I46" s="140"/>
      <c r="J46" s="141"/>
      <c r="K46" s="137"/>
      <c r="L46" s="137"/>
      <c r="M46" s="137"/>
      <c r="P46" s="35"/>
      <c r="U46" s="92"/>
      <c r="V46" s="92"/>
      <c r="W46" s="92"/>
    </row>
    <row r="47" spans="1:41" s="91" customFormat="1" ht="29.25" customHeight="1" x14ac:dyDescent="0.25">
      <c r="A47" s="105" t="s">
        <v>105</v>
      </c>
      <c r="B47" s="104">
        <f>IF(B44="Yes",5,IF(B41="Yes",10,IF(B42="Yes",7.5,5)))</f>
        <v>5</v>
      </c>
      <c r="C47" s="99" t="s">
        <v>32</v>
      </c>
      <c r="D47" s="227" t="s">
        <v>235</v>
      </c>
      <c r="E47" s="227"/>
      <c r="F47" s="227"/>
      <c r="H47" s="139"/>
      <c r="I47" s="140"/>
      <c r="J47" s="141"/>
      <c r="K47" s="137"/>
      <c r="L47" s="137"/>
      <c r="M47" s="137"/>
      <c r="N47" s="92"/>
      <c r="P47" s="35"/>
      <c r="Q47" s="92"/>
      <c r="R47" s="92"/>
      <c r="S47" s="92"/>
      <c r="T47" s="92"/>
      <c r="U47" s="111"/>
      <c r="V47" s="111"/>
      <c r="W47" s="111"/>
      <c r="X47" s="92"/>
      <c r="Y47" s="92"/>
      <c r="Z47" s="92"/>
      <c r="AA47" s="92"/>
      <c r="AB47" s="92"/>
      <c r="AC47" s="92"/>
      <c r="AD47" s="92"/>
      <c r="AE47" s="92"/>
      <c r="AF47" s="92"/>
      <c r="AG47" s="92"/>
      <c r="AH47" s="92"/>
      <c r="AI47" s="92"/>
      <c r="AJ47" s="92"/>
      <c r="AK47" s="92"/>
      <c r="AL47" s="92"/>
      <c r="AM47" s="92"/>
      <c r="AN47" s="92"/>
      <c r="AO47" s="92"/>
    </row>
    <row r="48" spans="1:41" ht="29.25" customHeight="1" x14ac:dyDescent="0.25">
      <c r="A48" s="105" t="s">
        <v>107</v>
      </c>
      <c r="B48" s="104">
        <f>B45-B47</f>
        <v>30</v>
      </c>
      <c r="C48" s="91"/>
      <c r="D48" s="96"/>
      <c r="E48" s="96"/>
      <c r="F48" s="96"/>
      <c r="G48" s="91"/>
      <c r="H48" s="139"/>
      <c r="I48" s="140"/>
      <c r="J48" s="141"/>
      <c r="K48" s="140"/>
      <c r="L48" s="140"/>
      <c r="M48" s="140"/>
      <c r="N48" s="91"/>
      <c r="O48" s="91"/>
      <c r="P48" s="35"/>
      <c r="Q48" s="91"/>
      <c r="R48" s="91" t="s">
        <v>46</v>
      </c>
      <c r="S48" s="91"/>
      <c r="T48" s="91"/>
      <c r="U48" s="91"/>
      <c r="V48" s="91"/>
      <c r="W48" s="91"/>
      <c r="X48" s="91"/>
      <c r="Y48" s="91"/>
      <c r="Z48" s="91"/>
      <c r="AA48" s="91"/>
      <c r="AB48" s="91"/>
      <c r="AC48" s="91"/>
      <c r="AD48" s="91"/>
      <c r="AE48" s="91"/>
      <c r="AF48" s="91"/>
      <c r="AG48" s="91"/>
      <c r="AH48" s="91"/>
      <c r="AI48" s="91"/>
      <c r="AJ48" s="91"/>
      <c r="AK48" s="91"/>
      <c r="AL48" s="91"/>
      <c r="AM48" s="91"/>
      <c r="AN48" s="91"/>
      <c r="AO48" s="91"/>
    </row>
    <row r="49" spans="1:41" s="91" customFormat="1" ht="35.25" customHeight="1" x14ac:dyDescent="0.25">
      <c r="A49" s="103" t="s">
        <v>45</v>
      </c>
      <c r="B49" s="130">
        <v>24</v>
      </c>
      <c r="C49" s="92" t="s">
        <v>47</v>
      </c>
      <c r="D49" s="212" t="s">
        <v>198</v>
      </c>
      <c r="E49" s="212"/>
      <c r="F49" s="212"/>
      <c r="G49" s="92"/>
      <c r="H49" s="139"/>
      <c r="I49" s="140"/>
      <c r="J49" s="138"/>
      <c r="K49" s="140"/>
      <c r="L49" s="140"/>
      <c r="M49" s="140"/>
      <c r="N49" s="92"/>
      <c r="P49" s="35"/>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row>
    <row r="50" spans="1:41" ht="30.75" customHeight="1" x14ac:dyDescent="0.25">
      <c r="A50" s="105" t="s">
        <v>48</v>
      </c>
      <c r="B50" s="104">
        <f>24-B49</f>
        <v>0</v>
      </c>
      <c r="C50" s="91" t="s">
        <v>46</v>
      </c>
      <c r="D50" s="96"/>
      <c r="E50" s="96"/>
      <c r="F50" s="96"/>
      <c r="G50" s="91"/>
      <c r="H50" s="139"/>
      <c r="I50" s="140"/>
      <c r="J50" s="141"/>
      <c r="K50" s="140"/>
      <c r="L50" s="140"/>
      <c r="M50" s="140"/>
      <c r="O50" s="91"/>
      <c r="P50" s="35"/>
    </row>
    <row r="51" spans="1:41" ht="30.75" customHeight="1" x14ac:dyDescent="0.25">
      <c r="A51" s="105" t="s">
        <v>199</v>
      </c>
      <c r="B51" s="130">
        <v>2.19</v>
      </c>
      <c r="C51" s="91"/>
      <c r="D51" s="216" t="s">
        <v>200</v>
      </c>
      <c r="E51" s="216"/>
      <c r="F51" s="216"/>
      <c r="G51" s="91"/>
      <c r="H51" s="139"/>
      <c r="I51" s="140"/>
      <c r="J51" s="141"/>
      <c r="K51" s="140"/>
      <c r="L51" s="140"/>
      <c r="M51" s="140"/>
      <c r="O51" s="35"/>
      <c r="P51" s="35"/>
    </row>
    <row r="52" spans="1:41" ht="31.5" customHeight="1" x14ac:dyDescent="0.25">
      <c r="A52" s="105" t="s">
        <v>266</v>
      </c>
      <c r="B52" s="18" t="s">
        <v>56</v>
      </c>
      <c r="D52" s="212" t="s">
        <v>29</v>
      </c>
      <c r="E52" s="212"/>
      <c r="F52" s="212"/>
      <c r="H52" s="139"/>
      <c r="I52" s="140"/>
      <c r="J52" s="141"/>
      <c r="K52" s="140"/>
      <c r="L52" s="140"/>
      <c r="M52" s="140"/>
      <c r="O52" s="35"/>
      <c r="P52" s="35"/>
    </row>
    <row r="53" spans="1:41" ht="31.5" customHeight="1" x14ac:dyDescent="0.25">
      <c r="A53" s="103" t="s">
        <v>267</v>
      </c>
      <c r="B53" s="130" t="s">
        <v>50</v>
      </c>
      <c r="D53" s="212" t="s">
        <v>29</v>
      </c>
      <c r="E53" s="212"/>
      <c r="F53" s="212"/>
      <c r="H53" s="139"/>
      <c r="I53" s="140"/>
      <c r="J53" s="141"/>
      <c r="K53" s="137"/>
      <c r="L53" s="137"/>
      <c r="M53" s="137"/>
      <c r="O53" s="35"/>
      <c r="P53" s="35"/>
      <c r="U53" s="111"/>
      <c r="V53" s="111"/>
      <c r="W53" s="111"/>
    </row>
    <row r="54" spans="1:41" ht="31.5" customHeight="1" x14ac:dyDescent="0.25">
      <c r="A54" s="103" t="s">
        <v>242</v>
      </c>
      <c r="B54" s="104">
        <f>VLOOKUP(B53,W2:X12,2,)</f>
        <v>2.19</v>
      </c>
      <c r="H54" s="139"/>
      <c r="I54" s="140"/>
      <c r="J54" s="141"/>
      <c r="K54" s="140"/>
      <c r="L54" s="140"/>
      <c r="M54" s="140"/>
      <c r="N54" s="91"/>
      <c r="O54" s="35"/>
      <c r="P54" s="35"/>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row>
    <row r="55" spans="1:41" s="91" customFormat="1" ht="31.5" customHeight="1" x14ac:dyDescent="0.25">
      <c r="A55" s="105" t="s">
        <v>268</v>
      </c>
      <c r="B55" s="131">
        <v>1</v>
      </c>
      <c r="C55" s="92" t="s">
        <v>193</v>
      </c>
      <c r="D55" s="212" t="s">
        <v>161</v>
      </c>
      <c r="E55" s="212"/>
      <c r="F55" s="212"/>
      <c r="G55" s="92"/>
      <c r="H55" s="139"/>
      <c r="I55" s="140"/>
      <c r="J55" s="141"/>
      <c r="K55" s="140"/>
      <c r="L55" s="140"/>
      <c r="M55" s="140"/>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row>
    <row r="56" spans="1:41" ht="31.5" customHeight="1" x14ac:dyDescent="0.25">
      <c r="A56" s="110" t="s">
        <v>243</v>
      </c>
      <c r="B56" s="112">
        <f>IF(B52="Yes",(X2/B54)*B55,1)</f>
        <v>1</v>
      </c>
      <c r="C56" s="91"/>
      <c r="D56" s="96"/>
      <c r="E56" s="96"/>
      <c r="F56" s="96"/>
      <c r="G56" s="91"/>
      <c r="H56" s="139"/>
      <c r="I56" s="140"/>
      <c r="J56" s="141"/>
      <c r="K56" s="140"/>
      <c r="L56" s="140"/>
      <c r="M56" s="140"/>
      <c r="O56" s="35"/>
      <c r="P56" s="35"/>
    </row>
    <row r="57" spans="1:41" ht="31.5" customHeight="1" x14ac:dyDescent="0.25">
      <c r="A57" s="110" t="s">
        <v>245</v>
      </c>
      <c r="B57" s="18" t="s">
        <v>57</v>
      </c>
      <c r="D57" s="212" t="s">
        <v>29</v>
      </c>
      <c r="E57" s="212"/>
      <c r="F57" s="212"/>
      <c r="H57" s="139"/>
      <c r="I57" s="140"/>
      <c r="J57" s="141"/>
      <c r="K57" s="137"/>
      <c r="L57" s="137"/>
      <c r="M57" s="137"/>
      <c r="O57" s="35"/>
      <c r="P57" s="35"/>
    </row>
    <row r="58" spans="1:41" ht="31.5" customHeight="1" x14ac:dyDescent="0.25">
      <c r="A58" s="103" t="s">
        <v>269</v>
      </c>
      <c r="B58" s="130" t="s">
        <v>50</v>
      </c>
      <c r="D58" s="212" t="s">
        <v>29</v>
      </c>
      <c r="E58" s="212"/>
      <c r="F58" s="212"/>
      <c r="H58" s="139"/>
      <c r="I58" s="140"/>
      <c r="J58" s="141"/>
      <c r="K58" s="137"/>
      <c r="L58" s="137"/>
      <c r="M58" s="137"/>
      <c r="O58" s="35"/>
      <c r="P58" s="35"/>
      <c r="U58" s="111"/>
      <c r="V58" s="111"/>
      <c r="W58" s="111"/>
    </row>
    <row r="59" spans="1:41" ht="31.5" customHeight="1" x14ac:dyDescent="0.25">
      <c r="A59" s="103" t="s">
        <v>244</v>
      </c>
      <c r="B59" s="104">
        <f>VLOOKUP(B58,W2:X12,2,)</f>
        <v>2.19</v>
      </c>
      <c r="H59" s="139"/>
      <c r="I59" s="140"/>
      <c r="J59" s="141"/>
      <c r="K59" s="140"/>
      <c r="L59" s="140"/>
      <c r="M59" s="140"/>
      <c r="N59" s="91"/>
      <c r="O59" s="35"/>
      <c r="P59" s="35"/>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row>
    <row r="60" spans="1:41" s="91" customFormat="1" ht="31.5" customHeight="1" x14ac:dyDescent="0.25">
      <c r="A60" s="105" t="s">
        <v>270</v>
      </c>
      <c r="B60" s="131">
        <v>1</v>
      </c>
      <c r="C60" s="92" t="s">
        <v>193</v>
      </c>
      <c r="D60" s="212" t="s">
        <v>161</v>
      </c>
      <c r="E60" s="212"/>
      <c r="F60" s="212"/>
      <c r="G60" s="92"/>
      <c r="H60" s="139"/>
      <c r="I60" s="140"/>
      <c r="J60" s="141"/>
      <c r="K60" s="140"/>
      <c r="L60" s="140"/>
      <c r="M60" s="140"/>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row>
    <row r="61" spans="1:41" ht="31.5" customHeight="1" x14ac:dyDescent="0.25">
      <c r="A61" s="110" t="s">
        <v>246</v>
      </c>
      <c r="B61" s="112">
        <f>IF(B57="Yes",(X2/B59)*B60,1)</f>
        <v>1</v>
      </c>
      <c r="C61" s="91"/>
      <c r="D61" s="96"/>
      <c r="E61" s="96"/>
      <c r="F61" s="96"/>
      <c r="G61" s="91"/>
      <c r="H61" s="139"/>
      <c r="I61" s="140"/>
      <c r="J61" s="141"/>
      <c r="K61" s="140"/>
      <c r="L61" s="140"/>
      <c r="M61" s="140"/>
    </row>
    <row r="62" spans="1:41" ht="16.5" thickBot="1" x14ac:dyDescent="0.3">
      <c r="A62" s="91"/>
      <c r="B62" s="91"/>
      <c r="D62" s="113"/>
      <c r="E62" s="113"/>
      <c r="F62" s="113"/>
      <c r="H62" s="139"/>
      <c r="I62" s="140"/>
      <c r="J62" s="141"/>
      <c r="K62" s="140"/>
      <c r="L62" s="140"/>
      <c r="M62" s="140"/>
      <c r="U62" s="111"/>
      <c r="V62" s="111"/>
      <c r="W62" s="111"/>
    </row>
    <row r="63" spans="1:41" ht="30.75" customHeight="1" thickBot="1" x14ac:dyDescent="0.3">
      <c r="A63" s="100" t="s">
        <v>351</v>
      </c>
      <c r="B63" s="95"/>
      <c r="C63" s="95"/>
      <c r="D63" s="114"/>
      <c r="E63" s="114"/>
      <c r="F63" s="114"/>
      <c r="H63" s="139"/>
      <c r="I63" s="140"/>
      <c r="J63" s="141"/>
      <c r="K63" s="140"/>
      <c r="L63" s="140"/>
      <c r="M63" s="140"/>
      <c r="U63" s="111"/>
      <c r="V63" s="111"/>
      <c r="W63" s="111"/>
    </row>
    <row r="64" spans="1:41" ht="33.75" customHeight="1" x14ac:dyDescent="0.25">
      <c r="A64" s="102" t="s">
        <v>163</v>
      </c>
      <c r="B64" s="129" t="s">
        <v>46</v>
      </c>
      <c r="C64" s="92" t="s">
        <v>247</v>
      </c>
      <c r="D64" s="216" t="s">
        <v>35</v>
      </c>
      <c r="E64" s="216"/>
      <c r="F64" s="216"/>
      <c r="H64" s="139"/>
      <c r="I64" s="140"/>
      <c r="J64" s="141"/>
      <c r="K64" s="137"/>
      <c r="L64" s="137"/>
      <c r="M64" s="137"/>
      <c r="N64" s="91"/>
      <c r="O64" s="91"/>
      <c r="P64" s="91"/>
      <c r="Q64" s="91"/>
      <c r="R64" s="91" t="s">
        <v>46</v>
      </c>
      <c r="S64" s="91" t="s">
        <v>46</v>
      </c>
      <c r="T64" s="91"/>
      <c r="U64" s="91"/>
      <c r="V64" s="91"/>
      <c r="W64" s="91"/>
      <c r="X64" s="91"/>
      <c r="Y64" s="91"/>
      <c r="Z64" s="91"/>
      <c r="AA64" s="91"/>
      <c r="AB64" s="91"/>
      <c r="AC64" s="91"/>
      <c r="AD64" s="91"/>
      <c r="AE64" s="91"/>
      <c r="AF64" s="91"/>
      <c r="AG64" s="91"/>
      <c r="AH64" s="91"/>
      <c r="AI64" s="91"/>
      <c r="AJ64" s="91"/>
      <c r="AK64" s="91"/>
      <c r="AL64" s="91"/>
      <c r="AM64" s="91"/>
      <c r="AN64" s="91"/>
      <c r="AO64" s="91"/>
    </row>
    <row r="65" spans="1:41" s="91" customFormat="1" ht="51.75" customHeight="1" x14ac:dyDescent="0.25">
      <c r="A65" s="103" t="s">
        <v>164</v>
      </c>
      <c r="B65" s="3" t="s">
        <v>201</v>
      </c>
      <c r="C65" s="92"/>
      <c r="D65" s="216" t="s">
        <v>360</v>
      </c>
      <c r="E65" s="216"/>
      <c r="F65" s="216"/>
      <c r="G65" s="92"/>
      <c r="H65" s="139"/>
      <c r="I65" s="140"/>
      <c r="J65" s="141"/>
      <c r="K65" s="140"/>
      <c r="L65" s="140"/>
      <c r="M65" s="140"/>
    </row>
    <row r="66" spans="1:41" s="91" customFormat="1" ht="32.25" customHeight="1" x14ac:dyDescent="0.25">
      <c r="A66" s="103" t="s">
        <v>361</v>
      </c>
      <c r="B66" s="115" t="str">
        <f>IF(B35="No",B64,B64*(1-B36))</f>
        <v xml:space="preserve"> </v>
      </c>
      <c r="C66" s="92" t="s">
        <v>247</v>
      </c>
      <c r="D66" s="96"/>
      <c r="E66" s="96"/>
      <c r="F66" s="96"/>
      <c r="G66" s="92"/>
      <c r="H66" s="171"/>
      <c r="I66" s="140"/>
      <c r="J66" s="141"/>
      <c r="K66" s="140"/>
      <c r="L66" s="140"/>
      <c r="M66" s="140"/>
    </row>
    <row r="67" spans="1:41" s="91" customFormat="1" ht="31.5" customHeight="1" x14ac:dyDescent="0.25">
      <c r="A67" s="105" t="s">
        <v>51</v>
      </c>
      <c r="B67" s="106">
        <v>10</v>
      </c>
      <c r="C67" s="99" t="s">
        <v>32</v>
      </c>
      <c r="D67" s="216" t="s">
        <v>160</v>
      </c>
      <c r="E67" s="216"/>
      <c r="F67" s="216"/>
      <c r="H67" s="139"/>
      <c r="I67" s="142"/>
      <c r="J67" s="141"/>
      <c r="K67" s="140"/>
      <c r="L67" s="140"/>
      <c r="M67" s="140"/>
      <c r="N67" s="92"/>
      <c r="O67" s="92"/>
      <c r="P67" s="92"/>
      <c r="Q67" s="92"/>
      <c r="R67" s="92"/>
      <c r="S67" s="92"/>
      <c r="T67" s="92"/>
      <c r="U67" s="111"/>
      <c r="V67" s="111"/>
      <c r="W67" s="111"/>
      <c r="X67" s="92"/>
      <c r="Y67" s="92"/>
      <c r="Z67" s="92"/>
      <c r="AA67" s="92"/>
      <c r="AB67" s="92"/>
      <c r="AC67" s="92"/>
      <c r="AD67" s="92"/>
      <c r="AE67" s="92"/>
      <c r="AF67" s="92"/>
      <c r="AG67" s="92"/>
      <c r="AH67" s="92"/>
      <c r="AI67" s="92"/>
      <c r="AJ67" s="92"/>
      <c r="AK67" s="92"/>
      <c r="AL67" s="92"/>
      <c r="AM67" s="92"/>
      <c r="AN67" s="92"/>
      <c r="AO67" s="92"/>
    </row>
    <row r="68" spans="1:41" ht="31.5" customHeight="1" x14ac:dyDescent="0.25">
      <c r="A68" s="105" t="s">
        <v>411</v>
      </c>
      <c r="B68" s="104">
        <f>IF(OR(B65="No Hot Water Store",B65="Integral Hot Water Storage"),60,65)</f>
        <v>65</v>
      </c>
      <c r="C68" s="99" t="s">
        <v>32</v>
      </c>
      <c r="D68" s="216" t="s">
        <v>271</v>
      </c>
      <c r="E68" s="216"/>
      <c r="F68" s="216"/>
      <c r="G68" s="91"/>
      <c r="H68" s="139" t="s">
        <v>46</v>
      </c>
      <c r="I68" s="140"/>
      <c r="J68" s="141"/>
      <c r="K68" s="137"/>
      <c r="L68" s="137"/>
      <c r="M68" s="137"/>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row>
    <row r="69" spans="1:41" s="91" customFormat="1" ht="36" customHeight="1" x14ac:dyDescent="0.25">
      <c r="A69" s="103" t="s">
        <v>52</v>
      </c>
      <c r="B69" s="130">
        <v>209</v>
      </c>
      <c r="C69" s="92" t="s">
        <v>104</v>
      </c>
      <c r="D69" s="216" t="s">
        <v>36</v>
      </c>
      <c r="E69" s="216"/>
      <c r="F69" s="216"/>
      <c r="G69" s="92"/>
      <c r="H69" s="139"/>
      <c r="I69" s="140"/>
      <c r="J69" s="141"/>
      <c r="K69" s="140"/>
      <c r="L69" s="140"/>
      <c r="M69" s="140"/>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row>
    <row r="70" spans="1:41" ht="15.75" customHeight="1" x14ac:dyDescent="0.25">
      <c r="A70" s="162"/>
      <c r="B70" s="162"/>
      <c r="C70" s="163"/>
      <c r="D70" s="216" t="s">
        <v>46</v>
      </c>
      <c r="E70" s="216"/>
      <c r="F70" s="216"/>
      <c r="G70" s="91"/>
      <c r="H70" s="139"/>
      <c r="I70" s="140"/>
      <c r="J70" s="141"/>
      <c r="K70" s="140"/>
      <c r="L70" s="140"/>
      <c r="M70" s="140"/>
    </row>
    <row r="71" spans="1:41" ht="15.75" customHeight="1" x14ac:dyDescent="0.25">
      <c r="A71" s="163"/>
      <c r="B71" s="164"/>
      <c r="C71" s="163"/>
      <c r="D71" s="96"/>
      <c r="E71" s="96"/>
      <c r="F71" s="96"/>
      <c r="G71" s="91"/>
      <c r="H71" s="139"/>
      <c r="I71" s="140"/>
      <c r="J71" s="141"/>
      <c r="K71" s="140"/>
      <c r="L71" s="140"/>
      <c r="M71" s="140"/>
      <c r="N71" s="40"/>
    </row>
    <row r="72" spans="1:41" ht="16.5" thickBot="1" x14ac:dyDescent="0.3">
      <c r="H72" s="139"/>
      <c r="I72" s="140"/>
      <c r="J72" s="141"/>
      <c r="K72" s="140"/>
      <c r="L72" s="140"/>
      <c r="M72" s="140"/>
      <c r="N72" s="116" t="s">
        <v>46</v>
      </c>
    </row>
    <row r="73" spans="1:41" ht="28.5" customHeight="1" thickBot="1" x14ac:dyDescent="0.3">
      <c r="A73" s="100" t="s">
        <v>352</v>
      </c>
      <c r="B73" s="62"/>
      <c r="C73" s="62"/>
      <c r="D73" s="61"/>
      <c r="E73" s="61"/>
      <c r="F73" s="61"/>
      <c r="G73" s="40"/>
      <c r="H73" s="143"/>
      <c r="I73" s="144"/>
      <c r="J73" s="145"/>
      <c r="K73" s="144"/>
      <c r="L73" s="144"/>
      <c r="M73" s="144"/>
      <c r="N73" s="9"/>
    </row>
    <row r="74" spans="1:41" ht="81" customHeight="1" x14ac:dyDescent="0.25">
      <c r="A74" s="9" t="s">
        <v>37</v>
      </c>
      <c r="B74" s="117" t="s">
        <v>369</v>
      </c>
      <c r="C74" s="79" t="str">
        <f>IF(OR(B25="Air to Air",B25="Brine to Air",B25="Water to Air"),"For Heating by Air, select No for Low, Medium and Very High Temperature Test Points","")</f>
        <v/>
      </c>
      <c r="D74" s="213" t="s">
        <v>248</v>
      </c>
      <c r="E74" s="213"/>
      <c r="F74" s="213"/>
      <c r="G74" s="9"/>
      <c r="H74" s="144"/>
      <c r="I74" s="140"/>
      <c r="J74" s="146"/>
      <c r="K74" s="137"/>
      <c r="L74" s="137"/>
      <c r="M74" s="137"/>
      <c r="N74" s="9"/>
      <c r="O74" s="91"/>
      <c r="P74" s="91"/>
      <c r="Q74" s="91"/>
      <c r="R74" s="91"/>
      <c r="S74" s="91"/>
      <c r="T74" s="91"/>
      <c r="U74" s="91"/>
    </row>
    <row r="75" spans="1:41" ht="30.75" customHeight="1" x14ac:dyDescent="0.25">
      <c r="A75" s="9" t="s">
        <v>173</v>
      </c>
      <c r="B75" s="118" t="s">
        <v>109</v>
      </c>
      <c r="C75" s="18" t="s">
        <v>56</v>
      </c>
      <c r="D75" s="213" t="s">
        <v>248</v>
      </c>
      <c r="E75" s="213"/>
      <c r="F75" s="213"/>
      <c r="G75" s="9"/>
      <c r="H75" s="144"/>
      <c r="I75" s="140"/>
      <c r="J75" s="147"/>
      <c r="K75" s="137"/>
      <c r="L75" s="137"/>
      <c r="M75" s="137"/>
      <c r="N75" s="9"/>
      <c r="O75" s="91"/>
      <c r="P75" s="91"/>
      <c r="Q75" s="91"/>
      <c r="R75" s="91"/>
      <c r="S75" s="91"/>
      <c r="T75" s="91"/>
      <c r="U75" s="91"/>
    </row>
    <row r="76" spans="1:41" ht="30.75" customHeight="1" x14ac:dyDescent="0.25">
      <c r="A76" s="9"/>
      <c r="B76" s="118" t="s">
        <v>368</v>
      </c>
      <c r="C76" s="18" t="s">
        <v>57</v>
      </c>
      <c r="D76" s="213" t="s">
        <v>248</v>
      </c>
      <c r="E76" s="213"/>
      <c r="F76" s="213"/>
      <c r="G76" s="9"/>
      <c r="H76" s="144"/>
      <c r="I76" s="140"/>
      <c r="J76" s="147"/>
      <c r="K76" s="137"/>
      <c r="L76" s="137"/>
      <c r="M76" s="137"/>
      <c r="N76" s="9"/>
      <c r="O76" s="91"/>
      <c r="P76" s="91"/>
      <c r="Q76" s="91"/>
      <c r="R76" s="91"/>
      <c r="S76" s="91"/>
      <c r="T76" s="91"/>
      <c r="U76" s="91"/>
    </row>
    <row r="77" spans="1:41" ht="30.75" customHeight="1" x14ac:dyDescent="0.25">
      <c r="A77" s="9"/>
      <c r="B77" s="118" t="s">
        <v>150</v>
      </c>
      <c r="C77" s="18" t="s">
        <v>57</v>
      </c>
      <c r="D77" s="213" t="s">
        <v>248</v>
      </c>
      <c r="E77" s="213"/>
      <c r="F77" s="213"/>
      <c r="G77" s="9"/>
      <c r="H77" s="144"/>
      <c r="I77" s="140"/>
      <c r="J77" s="147"/>
      <c r="K77" s="137"/>
      <c r="L77" s="137"/>
      <c r="M77" s="137"/>
      <c r="N77" s="35"/>
      <c r="O77" s="35"/>
      <c r="P77" s="35"/>
      <c r="Q77" s="35"/>
      <c r="R77" s="35"/>
      <c r="S77" s="35"/>
      <c r="T77" s="35"/>
      <c r="U77" s="91"/>
    </row>
    <row r="78" spans="1:41" ht="49.5" customHeight="1" thickBot="1" x14ac:dyDescent="0.3">
      <c r="A78" s="9"/>
      <c r="B78" s="71" t="s">
        <v>249</v>
      </c>
      <c r="C78" s="70">
        <f>IF(C77="Yes",65,55)</f>
        <v>55</v>
      </c>
      <c r="D78" s="217" t="str">
        <f>IF(B45&gt;C78,"ERROR: Heat Pump data not suitable for Design Flow Temperature, test data must be available for higher supply temperature","")</f>
        <v/>
      </c>
      <c r="E78" s="218"/>
      <c r="F78" s="218"/>
      <c r="G78" s="9"/>
      <c r="H78" s="144"/>
      <c r="I78" s="144"/>
      <c r="J78" s="147"/>
      <c r="K78" s="144"/>
      <c r="L78" s="144"/>
      <c r="M78" s="144"/>
      <c r="N78" s="35"/>
      <c r="O78" s="35"/>
      <c r="P78" s="35"/>
      <c r="Q78" s="35"/>
      <c r="R78" s="35"/>
      <c r="S78" s="35"/>
      <c r="T78" s="35"/>
      <c r="U78" s="91"/>
    </row>
    <row r="79" spans="1:41" ht="30.75" customHeight="1" thickBot="1" x14ac:dyDescent="0.3">
      <c r="A79" s="8" t="s">
        <v>46</v>
      </c>
      <c r="B79" s="10" t="s">
        <v>37</v>
      </c>
      <c r="C79" s="165" t="s">
        <v>395</v>
      </c>
      <c r="D79" s="166" t="s">
        <v>396</v>
      </c>
      <c r="E79" s="166" t="s">
        <v>397</v>
      </c>
      <c r="F79" s="166" t="s">
        <v>398</v>
      </c>
      <c r="G79" s="167" t="s">
        <v>399</v>
      </c>
      <c r="H79" s="148"/>
      <c r="I79" s="149"/>
      <c r="J79" s="147"/>
      <c r="K79" s="149"/>
      <c r="L79" s="149"/>
      <c r="M79" s="149"/>
      <c r="N79" s="35"/>
      <c r="O79" s="35"/>
      <c r="P79" s="35"/>
      <c r="Q79" s="35"/>
      <c r="R79" s="35"/>
      <c r="S79" s="35"/>
      <c r="T79" s="35"/>
      <c r="U79" s="91"/>
    </row>
    <row r="80" spans="1:41" ht="30.75" customHeight="1" x14ac:dyDescent="0.25">
      <c r="A80" s="11" t="s">
        <v>145</v>
      </c>
      <c r="B80" s="80" t="s">
        <v>233</v>
      </c>
      <c r="C80" s="21" t="str">
        <f>IF(OR($B$25="Water to Water",$B$25="Water to Air"),"W10",(IF(OR($B$25="Brine to Water",$B$25="Brine to Air"),"B0","A-7")))</f>
        <v>A-7</v>
      </c>
      <c r="D80" s="63" t="str">
        <f>IF(OR($B$25="Water to Water",$B$25="Water to Air"),"W10",(IF(OR($B$25="Brine to Water",$B$25="Brine to Air"),"B0","A2")))</f>
        <v>A2</v>
      </c>
      <c r="E80" s="63" t="str">
        <f>IF(OR($B$25="Water to Water",$B$25="Water to Air"),"W10",(IF(OR($B$25="Brine to Water",$B$25="Brine to Air"),"B0","A7")))</f>
        <v>A7</v>
      </c>
      <c r="F80" s="63" t="str">
        <f>IF(OR($B$25="Water to Water",$B$25="Water to Air"),"W10",(IF(OR($B$25="Brine to Water",$B$25="Brine to Air"),"B0","A12")))</f>
        <v>A12</v>
      </c>
      <c r="G80" s="64" t="str">
        <f>IF(OR($B$25="Water to Water",$B$25="Water to Air"),"W10",(IF(OR($B$25="Brine to Water",$B$25="Brine to Air"),"B0","A"&amp;B30)))</f>
        <v>A-20</v>
      </c>
      <c r="H80" s="150"/>
      <c r="I80" s="150"/>
      <c r="J80" s="151"/>
      <c r="K80" s="137"/>
      <c r="L80" s="137"/>
      <c r="M80" s="137"/>
      <c r="N80" s="35"/>
      <c r="O80" s="35"/>
      <c r="P80" s="35"/>
      <c r="Q80" s="35"/>
      <c r="R80" s="35"/>
      <c r="S80" s="35"/>
      <c r="T80" s="35"/>
      <c r="U80" s="91"/>
    </row>
    <row r="81" spans="1:21" ht="30.75" customHeight="1" x14ac:dyDescent="0.25">
      <c r="A81" s="12"/>
      <c r="B81" s="81" t="s">
        <v>234</v>
      </c>
      <c r="C81" s="76" t="str">
        <f>IF(OR($B$25="Water to Air",$B$25="Air to Air",$B$25="Brine to Air"),"A20",(IF($B$26="Fixed Outlet","W35","W34")))</f>
        <v>W34</v>
      </c>
      <c r="D81" s="77" t="str">
        <f>IF(OR($B$25="Water to Air",$B$25="Air to Air",$B$25="Brine to Air"),"A20",(IF($B$26="Fixed Outlet","W35","W30")))</f>
        <v>W30</v>
      </c>
      <c r="E81" s="77" t="str">
        <f>IF(OR($B$25="Water to Air",$B$25="Air to Air",$B$25="Brine to Air"),"A20",(IF($B$26="Fixed Outlet","W35","W27")))</f>
        <v>W27</v>
      </c>
      <c r="F81" s="77" t="str">
        <f>IF(OR($B$25="Water to Air",$B$25="Air to Air",$B$25="Brine to Air"),"A20",(IF($B$26="Fixed Outlet","W35","W24")))</f>
        <v>W24</v>
      </c>
      <c r="G81" s="78" t="str">
        <f>IF(OR($B$25="Water to Air",$B$25="Air to Air",$B$25="Brine to Air"),"A20",(IF($B$26="Fixed Outlet","W35","W35")))</f>
        <v>W35</v>
      </c>
      <c r="H81" s="150"/>
      <c r="I81" s="72"/>
      <c r="J81" s="151"/>
      <c r="K81" s="150"/>
      <c r="L81" s="150"/>
      <c r="M81" s="150"/>
      <c r="N81" s="35"/>
      <c r="O81" s="35"/>
      <c r="P81" s="35"/>
      <c r="Q81" s="35"/>
      <c r="R81" s="35"/>
      <c r="S81" s="35"/>
      <c r="T81" s="35"/>
      <c r="U81" s="91"/>
    </row>
    <row r="82" spans="1:21" ht="30.75" customHeight="1" x14ac:dyDescent="0.25">
      <c r="A82" s="12" t="s">
        <v>144</v>
      </c>
      <c r="B82" s="81" t="s">
        <v>38</v>
      </c>
      <c r="C82" s="17">
        <v>6.04</v>
      </c>
      <c r="D82" s="18">
        <v>3.67</v>
      </c>
      <c r="E82" s="18">
        <v>4.3600000000000003</v>
      </c>
      <c r="F82" s="18">
        <v>4.17</v>
      </c>
      <c r="G82" s="65">
        <v>5.41</v>
      </c>
      <c r="H82" s="44"/>
      <c r="I82" s="140"/>
      <c r="J82" s="88"/>
      <c r="K82" s="72"/>
      <c r="L82" s="72"/>
      <c r="M82" s="72"/>
      <c r="N82" s="35"/>
      <c r="O82" s="35"/>
      <c r="P82" s="35"/>
      <c r="Q82" s="35"/>
      <c r="R82" s="35"/>
      <c r="S82" s="35"/>
      <c r="T82" s="35"/>
      <c r="U82" s="91"/>
    </row>
    <row r="83" spans="1:21" ht="30.75" customHeight="1" thickBot="1" x14ac:dyDescent="0.3">
      <c r="A83" s="12"/>
      <c r="B83" s="67" t="s">
        <v>39</v>
      </c>
      <c r="C83" s="17">
        <v>3.07</v>
      </c>
      <c r="D83" s="18">
        <v>4.3499999999999996</v>
      </c>
      <c r="E83" s="18">
        <v>5.7</v>
      </c>
      <c r="F83" s="18">
        <v>7.17</v>
      </c>
      <c r="G83" s="16">
        <v>2.62</v>
      </c>
      <c r="H83" s="45"/>
      <c r="I83" s="72"/>
      <c r="J83" s="89"/>
      <c r="K83" s="72"/>
      <c r="L83" s="72"/>
      <c r="M83" s="72"/>
      <c r="N83" s="35"/>
      <c r="O83" s="35"/>
      <c r="P83" s="35"/>
      <c r="Q83" s="35"/>
      <c r="R83" s="35"/>
      <c r="S83" s="35"/>
      <c r="T83" s="35"/>
      <c r="U83" s="91"/>
    </row>
    <row r="84" spans="1:21" ht="30.75" customHeight="1" x14ac:dyDescent="0.25">
      <c r="A84" s="13" t="s">
        <v>146</v>
      </c>
      <c r="B84" s="80" t="s">
        <v>233</v>
      </c>
      <c r="C84" s="21" t="str">
        <f>IF(OR($B$25="Water to Water",$B$25="Water to Air"),"W10",(IF(OR($B$25="Brine to Water",$B$25="Brine to Air"),"B0","A-7")))</f>
        <v>A-7</v>
      </c>
      <c r="D84" s="63" t="str">
        <f>IF(OR($B$25="Water to Water",$B$25="Water to Air"),"W10",(IF(OR($B$25="Brine to Water",$B$25="Brine to Air"),"B0","A2")))</f>
        <v>A2</v>
      </c>
      <c r="E84" s="63" t="str">
        <f>IF(OR($B$25="Water to Water",$B$25="Water to Air"),"W10",(IF(OR($B$25="Brine to Water",$B$25="Brine to Air"),"B0","A7")))</f>
        <v>A7</v>
      </c>
      <c r="F84" s="63" t="str">
        <f>IF(OR($B$25="Water to Water",$B$25="Water to Air"),"W10",(IF(OR($B$25="Brine to Water",$B$25="Brine to Air"),"B0","A12")))</f>
        <v>A12</v>
      </c>
      <c r="G84" s="64" t="str">
        <f>IF(OR($B$25="Water to Water",$B$25="Water to Air"),"W10",(IF(OR($B$25="Brine to Water",$B$25="Brine to Air"),"B0","A"&amp;B30)))</f>
        <v>A-20</v>
      </c>
      <c r="H84" s="45"/>
      <c r="I84" s="73"/>
      <c r="J84" s="89"/>
      <c r="K84" s="72"/>
      <c r="L84" s="72"/>
      <c r="M84" s="72"/>
      <c r="N84" s="35"/>
      <c r="O84" s="35"/>
      <c r="P84" s="35"/>
      <c r="Q84" s="35"/>
      <c r="R84" s="35"/>
      <c r="S84" s="35"/>
      <c r="T84" s="35"/>
      <c r="U84" s="91"/>
    </row>
    <row r="85" spans="1:21" ht="30.75" customHeight="1" x14ac:dyDescent="0.25">
      <c r="A85" s="14"/>
      <c r="B85" s="81" t="s">
        <v>234</v>
      </c>
      <c r="C85" s="76" t="str">
        <f>IF(OR($B$25="Water to Air",$B$25="Air to Air",$B$25="Brine to Air"),"A20",(IF($B$26="Fixed Outlet","W45","W43")))</f>
        <v>W43</v>
      </c>
      <c r="D85" s="77" t="str">
        <f>IF(OR($B$25="Water to Air",$B$25="Air to Air",$B$25="Brine to Air"),"A20",(IF($B$26="Fixed Outlet","W45","W37")))</f>
        <v>W37</v>
      </c>
      <c r="E85" s="77" t="str">
        <f>IF(OR($B$25="Water to Air",$B$25="Air to Air",$B$25="Brine to Air"),"A20",(IF($B$26="Fixed Outlet","W45","W33")))</f>
        <v>W33</v>
      </c>
      <c r="F85" s="77" t="str">
        <f>IF(OR($B$25="Water to Air",$B$25="Air to Air",$B$25="Brine to Air"),"A20",(IF($B$26="Fixed Outlet","W45","W28")))</f>
        <v>W28</v>
      </c>
      <c r="G85" s="78" t="str">
        <f>IF(OR($B$25="Water to Air",$B$25="Air to Air",$B$25="Brine to Air"),"A20",(IF($B$26="Fixed Outlet","W45","W45")))</f>
        <v>W45</v>
      </c>
      <c r="H85" s="45"/>
      <c r="I85" s="73"/>
      <c r="J85" s="89"/>
      <c r="K85" s="72"/>
      <c r="L85" s="72"/>
      <c r="M85" s="72"/>
      <c r="N85" s="35"/>
      <c r="O85" s="35"/>
      <c r="P85" s="35"/>
      <c r="Q85" s="35"/>
      <c r="R85" s="35"/>
      <c r="S85" s="35"/>
      <c r="T85" s="35"/>
      <c r="U85" s="35"/>
    </row>
    <row r="86" spans="1:21" ht="30.75" customHeight="1" x14ac:dyDescent="0.25">
      <c r="A86" s="14" t="s">
        <v>393</v>
      </c>
      <c r="B86" s="81" t="s">
        <v>38</v>
      </c>
      <c r="C86" s="17">
        <v>7</v>
      </c>
      <c r="D86" s="18">
        <v>4.4000000000000004</v>
      </c>
      <c r="E86" s="18">
        <v>2.8</v>
      </c>
      <c r="F86" s="18">
        <v>2.9</v>
      </c>
      <c r="G86" s="16">
        <v>6.1</v>
      </c>
      <c r="H86" s="150"/>
      <c r="I86" s="72"/>
      <c r="J86" s="152"/>
      <c r="K86" s="150"/>
      <c r="L86" s="150"/>
      <c r="M86" s="150"/>
      <c r="N86" s="35"/>
      <c r="O86" s="35"/>
      <c r="P86" s="35"/>
      <c r="Q86" s="35"/>
      <c r="R86" s="35"/>
      <c r="S86" s="35"/>
      <c r="T86" s="35"/>
      <c r="U86" s="35"/>
    </row>
    <row r="87" spans="1:21" ht="30.75" customHeight="1" thickBot="1" x14ac:dyDescent="0.3">
      <c r="A87" s="14"/>
      <c r="B87" s="82" t="s">
        <v>39</v>
      </c>
      <c r="C87" s="17">
        <v>1.95</v>
      </c>
      <c r="D87" s="18">
        <v>3.14</v>
      </c>
      <c r="E87" s="18">
        <v>4.63</v>
      </c>
      <c r="F87" s="18">
        <v>6.17</v>
      </c>
      <c r="G87" s="16">
        <v>1.71</v>
      </c>
      <c r="H87" s="46"/>
      <c r="I87" s="150"/>
      <c r="J87" s="90"/>
      <c r="K87" s="73"/>
      <c r="L87" s="73"/>
      <c r="M87" s="73"/>
      <c r="N87" s="35"/>
      <c r="O87" s="35"/>
      <c r="P87" s="35"/>
      <c r="Q87" s="35"/>
      <c r="R87" s="35"/>
      <c r="S87" s="35"/>
      <c r="T87" s="35"/>
      <c r="U87" s="91"/>
    </row>
    <row r="88" spans="1:21" ht="30.75" customHeight="1" x14ac:dyDescent="0.25">
      <c r="A88" s="13" t="s">
        <v>273</v>
      </c>
      <c r="B88" s="80" t="s">
        <v>233</v>
      </c>
      <c r="C88" s="21" t="str">
        <f>IF(OR($B$25="Water to Water",$B$25="Water to Air"),"W10",(IF(OR($B$25="Brine to Water",$B$25="Brine to Air"),"B0","A-7")))</f>
        <v>A-7</v>
      </c>
      <c r="D88" s="63" t="str">
        <f>IF(OR($B$25="Water to Water",$B$25="Water to Air"),"W10",(IF(OR($B$25="Brine to Water",$B$25="Brine to Air"),"B0","A2")))</f>
        <v>A2</v>
      </c>
      <c r="E88" s="63" t="str">
        <f>IF(OR($B$25="Water to Water",$B$25="Water to Air"),"W10",(IF(OR($B$25="Brine to Water",$B$25="Brine to Air"),"B0","A7")))</f>
        <v>A7</v>
      </c>
      <c r="F88" s="63" t="str">
        <f>IF(OR($B$25="Water to Water",$B$25="Water to Air"),"W10",(IF(OR($B$25="Brine to Water",$B$25="Brine to Air"),"B0","A12")))</f>
        <v>A12</v>
      </c>
      <c r="G88" s="64" t="str">
        <f>IF(OR($B$25="Water to Water",$B$25="Water to Air"),"W10",(IF(OR($B$25="Brine to Water",$B$25="Brine to Air"),"B0","A"&amp;B30)))</f>
        <v>A-20</v>
      </c>
      <c r="H88" s="46"/>
      <c r="I88" s="73"/>
      <c r="J88" s="90"/>
      <c r="K88" s="73"/>
      <c r="L88" s="73"/>
      <c r="M88" s="73"/>
      <c r="N88" s="35"/>
      <c r="O88" s="35"/>
      <c r="P88" s="35"/>
      <c r="Q88" s="35"/>
      <c r="R88" s="35"/>
      <c r="S88" s="35"/>
      <c r="T88" s="35"/>
      <c r="U88" s="91"/>
    </row>
    <row r="89" spans="1:21" ht="30.75" customHeight="1" x14ac:dyDescent="0.25">
      <c r="A89" s="14"/>
      <c r="B89" s="81" t="s">
        <v>234</v>
      </c>
      <c r="C89" s="76" t="str">
        <f>IF(OR($B$25="Water to Air",$B$25="Air to Air",$B$25="Brine to Air"),"A20",(IF($B$26="Fixed Outlet","W55","W52")))</f>
        <v>W52</v>
      </c>
      <c r="D89" s="77" t="str">
        <f>IF(OR($B$25="Water to Air",$B$25="Air to Air",$B$25="Brine to Air"),"A20",(IF($B$26="Fixed Outlet","W55","W42")))</f>
        <v>W42</v>
      </c>
      <c r="E89" s="77" t="str">
        <f>IF(OR($B$25="Water to Air",$B$25="Air to Air",$B$25="Brine to Air"),"A20",(IF($B$26="Fixed Outlet","W55","W36")))</f>
        <v>W36</v>
      </c>
      <c r="F89" s="77" t="str">
        <f>IF(OR($B$25="Water to Air",$B$25="Air to Air",$B$25="Brine to Air"),"A20",(IF($B$26="Fixed Outlet","W55","W30")))</f>
        <v>W30</v>
      </c>
      <c r="G89" s="78" t="str">
        <f>IF(OR($B$25="Water to Air",$B$25="Air to Air",$B$25="Brine to Air"),"A20",(IF($B$26="Fixed Outlet","W55","W55")))</f>
        <v>W55</v>
      </c>
      <c r="H89" s="46"/>
      <c r="I89" s="73"/>
      <c r="J89" s="90"/>
      <c r="K89" s="73"/>
      <c r="L89" s="73"/>
      <c r="M89" s="73"/>
      <c r="N89" s="35"/>
      <c r="O89" s="35"/>
      <c r="P89" s="35"/>
      <c r="Q89" s="35"/>
      <c r="R89" s="35"/>
      <c r="S89" s="35"/>
      <c r="T89" s="35"/>
      <c r="U89" s="91"/>
    </row>
    <row r="90" spans="1:21" ht="30.75" customHeight="1" x14ac:dyDescent="0.25">
      <c r="A90" s="14" t="s">
        <v>394</v>
      </c>
      <c r="B90" s="81" t="s">
        <v>38</v>
      </c>
      <c r="C90" s="17">
        <v>5.67</v>
      </c>
      <c r="D90" s="18">
        <v>3.53</v>
      </c>
      <c r="E90" s="18">
        <v>4.1399999999999997</v>
      </c>
      <c r="F90" s="18">
        <v>4.01</v>
      </c>
      <c r="G90" s="16">
        <v>5.38</v>
      </c>
      <c r="H90" s="45"/>
      <c r="I90" s="72"/>
      <c r="J90" s="89"/>
      <c r="K90" s="72"/>
      <c r="L90" s="72"/>
      <c r="M90" s="72"/>
      <c r="N90" s="35"/>
      <c r="O90" s="35"/>
      <c r="P90" s="35"/>
      <c r="Q90" s="35"/>
      <c r="R90" s="35"/>
      <c r="S90" s="35"/>
      <c r="T90" s="35"/>
      <c r="U90" s="35"/>
    </row>
    <row r="91" spans="1:21" ht="30.75" customHeight="1" thickBot="1" x14ac:dyDescent="0.3">
      <c r="A91" s="14"/>
      <c r="B91" s="67" t="s">
        <v>39</v>
      </c>
      <c r="C91" s="17">
        <v>2.15</v>
      </c>
      <c r="D91" s="18">
        <v>3.1</v>
      </c>
      <c r="E91" s="18">
        <v>4.26</v>
      </c>
      <c r="F91" s="18">
        <v>5.72</v>
      </c>
      <c r="G91" s="16">
        <v>1.99</v>
      </c>
      <c r="H91" s="150"/>
      <c r="I91" s="150"/>
      <c r="J91" s="152"/>
      <c r="K91" s="150"/>
      <c r="L91" s="150"/>
      <c r="M91" s="150"/>
      <c r="N91" s="35"/>
      <c r="O91" s="35"/>
      <c r="P91" s="35"/>
      <c r="Q91" s="35"/>
      <c r="R91" s="35"/>
      <c r="S91" s="35"/>
      <c r="T91" s="35"/>
      <c r="U91" s="35"/>
    </row>
    <row r="92" spans="1:21" ht="30.75" customHeight="1" x14ac:dyDescent="0.25">
      <c r="A92" s="13" t="s">
        <v>147</v>
      </c>
      <c r="B92" s="83" t="s">
        <v>233</v>
      </c>
      <c r="C92" s="21" t="str">
        <f>IF(OR($B$25="Water to Water",$B$25="Water to Air"),"W10",(IF(OR($B$25="Brine to Water",$B$25="Brine to Air"),"B0","A-7")))</f>
        <v>A-7</v>
      </c>
      <c r="D92" s="63" t="str">
        <f>IF(OR($B$25="Water to Water",$B$25="Water to Air"),"W10",(IF(OR($B$25="Brine to Water",$B$25="Brine to Air"),"B0","A2")))</f>
        <v>A2</v>
      </c>
      <c r="E92" s="63" t="str">
        <f>IF(OR($B$25="Water to Water",$B$25="Water to Air"),"W10",(IF(OR($B$25="Brine to Water",$B$25="Brine to Air"),"B0","A7")))</f>
        <v>A7</v>
      </c>
      <c r="F92" s="63" t="str">
        <f>IF(OR($B$25="Water to Water",$B$25="Water to Air"),"W10",(IF(OR($B$25="Brine to Water",$B$25="Brine to Air"),"B0","A12")))</f>
        <v>A12</v>
      </c>
      <c r="G92" s="64" t="str">
        <f>IF(OR($B$25="Water to Water",$B$25="Water to Air"),"W10",(IF(OR($B$25="Brine to Water",$B$25="Brine to Air"),"B0","A"&amp;B30)))</f>
        <v>A-20</v>
      </c>
      <c r="H92" s="46"/>
      <c r="I92" s="73"/>
      <c r="J92" s="90"/>
      <c r="K92" s="73"/>
      <c r="L92" s="73"/>
      <c r="M92" s="73"/>
      <c r="N92" s="35"/>
      <c r="O92" s="35"/>
      <c r="P92" s="35"/>
      <c r="Q92" s="35"/>
      <c r="R92" s="35"/>
      <c r="S92" s="35"/>
      <c r="T92" s="35"/>
      <c r="U92" s="35"/>
    </row>
    <row r="93" spans="1:21" ht="30.75" customHeight="1" x14ac:dyDescent="0.25">
      <c r="A93" s="14"/>
      <c r="B93" s="81" t="s">
        <v>234</v>
      </c>
      <c r="C93" s="76" t="str">
        <f>IF(OR($B$25="Water to Air",$B$25="Air to Air",$B$25="Brine to Air"),"A20",(IF($B$26="Fixed Outlet","W65","W61")))</f>
        <v>W61</v>
      </c>
      <c r="D93" s="77" t="str">
        <f>IF(OR($B$25="Water to Air",$B$25="Air to Air",$B$25="Brine to Air"),"A20",(IF($B$26="Fixed Outlet","W65","W49")))</f>
        <v>W49</v>
      </c>
      <c r="E93" s="77" t="str">
        <f>IF(OR($B$25="Water to Air",$B$25="Air to Air",$B$25="Brine to Air"),"A20",(IF($B$26="Fixed Outlet","W65","W41")))</f>
        <v>W41</v>
      </c>
      <c r="F93" s="77" t="str">
        <f>IF(OR($B$25="Water to Air",$B$25="Air to Air",$B$25="Brine to Air"),"A20",(IF($B$26="Fixed Outlet","W65","W32")))</f>
        <v>W32</v>
      </c>
      <c r="G93" s="78" t="str">
        <f>IF(OR($B$25="Water to Air",$B$25="Air to Air",$B$25="Brine to Air"),"A20",(IF($B$26="Fixed Outlet","W65","W65")))</f>
        <v>W65</v>
      </c>
      <c r="H93" s="46"/>
      <c r="I93" s="73"/>
      <c r="J93" s="90"/>
      <c r="K93" s="73"/>
      <c r="L93" s="73"/>
      <c r="M93" s="73"/>
      <c r="N93" s="35"/>
      <c r="O93" s="35"/>
      <c r="P93" s="35"/>
      <c r="Q93" s="35"/>
      <c r="R93" s="35"/>
      <c r="S93" s="35"/>
      <c r="T93" s="35"/>
      <c r="U93" s="91"/>
    </row>
    <row r="94" spans="1:21" ht="30.75" customHeight="1" x14ac:dyDescent="0.25">
      <c r="A94" s="14" t="s">
        <v>148</v>
      </c>
      <c r="B94" s="81" t="s">
        <v>38</v>
      </c>
      <c r="C94" s="17">
        <v>0</v>
      </c>
      <c r="D94" s="18">
        <v>0</v>
      </c>
      <c r="E94" s="18">
        <v>0</v>
      </c>
      <c r="F94" s="18">
        <v>0</v>
      </c>
      <c r="G94" s="16">
        <v>0</v>
      </c>
      <c r="H94" s="46"/>
      <c r="I94" s="72"/>
      <c r="J94" s="90"/>
      <c r="K94" s="73"/>
      <c r="L94" s="73"/>
      <c r="M94" s="73"/>
      <c r="N94" s="35"/>
      <c r="O94" s="35"/>
      <c r="P94" s="35"/>
      <c r="Q94" s="35"/>
      <c r="R94" s="35"/>
      <c r="S94" s="35"/>
      <c r="T94" s="35"/>
      <c r="U94" s="91"/>
    </row>
    <row r="95" spans="1:21" ht="30.75" customHeight="1" thickBot="1" x14ac:dyDescent="0.3">
      <c r="A95" s="15"/>
      <c r="B95" s="67" t="s">
        <v>39</v>
      </c>
      <c r="C95" s="19">
        <v>0</v>
      </c>
      <c r="D95" s="66">
        <v>0</v>
      </c>
      <c r="E95" s="66">
        <v>0</v>
      </c>
      <c r="F95" s="66">
        <v>0</v>
      </c>
      <c r="G95" s="20">
        <v>0</v>
      </c>
      <c r="H95" s="45"/>
      <c r="I95" s="140"/>
      <c r="J95" s="89"/>
      <c r="K95" s="72"/>
      <c r="L95" s="72"/>
      <c r="M95" s="72"/>
      <c r="N95" s="35"/>
      <c r="O95" s="35"/>
      <c r="P95" s="35"/>
      <c r="Q95" s="35"/>
      <c r="R95" s="35"/>
      <c r="S95" s="35"/>
      <c r="T95" s="91"/>
      <c r="U95" s="35"/>
    </row>
    <row r="96" spans="1:21" ht="30.75" customHeight="1" x14ac:dyDescent="0.25">
      <c r="H96" s="150"/>
      <c r="I96" s="140"/>
      <c r="J96" s="152"/>
      <c r="K96" s="150"/>
      <c r="L96" s="150"/>
      <c r="M96" s="150"/>
      <c r="N96" s="35"/>
      <c r="O96" s="35"/>
      <c r="P96" s="35"/>
      <c r="Q96" s="35"/>
      <c r="R96" s="35"/>
      <c r="S96" s="35"/>
      <c r="T96" s="91"/>
      <c r="U96" s="91"/>
    </row>
    <row r="97" spans="1:21" ht="37.5" customHeight="1" thickBot="1" x14ac:dyDescent="0.3">
      <c r="A97" s="9" t="s">
        <v>73</v>
      </c>
      <c r="H97" s="139"/>
      <c r="I97" s="140"/>
      <c r="J97" s="90"/>
      <c r="K97" s="140"/>
      <c r="L97" s="140"/>
      <c r="M97" s="140"/>
      <c r="N97" s="35"/>
      <c r="O97" s="35"/>
      <c r="P97" s="35"/>
      <c r="Q97" s="35"/>
      <c r="R97" s="35"/>
      <c r="S97" s="35"/>
      <c r="T97" s="91"/>
      <c r="U97" s="91"/>
    </row>
    <row r="98" spans="1:21" ht="33" customHeight="1" x14ac:dyDescent="0.25">
      <c r="A98" s="30" t="s">
        <v>117</v>
      </c>
      <c r="B98" s="38" t="s">
        <v>56</v>
      </c>
      <c r="H98" s="139"/>
      <c r="I98" s="140"/>
      <c r="J98" s="90"/>
      <c r="K98" s="140"/>
      <c r="L98" s="140"/>
      <c r="M98" s="140"/>
      <c r="N98" s="35"/>
      <c r="O98" s="35"/>
      <c r="P98" s="35"/>
      <c r="Q98" s="35"/>
      <c r="R98" s="35"/>
      <c r="S98" s="35"/>
      <c r="T98" s="91"/>
      <c r="U98" s="91"/>
    </row>
    <row r="99" spans="1:21" ht="33" customHeight="1" x14ac:dyDescent="0.25">
      <c r="A99" s="37" t="s">
        <v>167</v>
      </c>
      <c r="B99" s="132">
        <v>0</v>
      </c>
      <c r="C99" s="92" t="s">
        <v>362</v>
      </c>
      <c r="D99" s="212" t="s">
        <v>250</v>
      </c>
      <c r="E99" s="212"/>
      <c r="F99" s="212"/>
      <c r="H99" s="139"/>
      <c r="I99" s="140"/>
      <c r="J99" s="90"/>
      <c r="K99" s="137"/>
      <c r="L99" s="137"/>
      <c r="M99" s="137"/>
      <c r="N99" s="35"/>
      <c r="O99" s="35"/>
      <c r="P99" s="35"/>
      <c r="Q99" s="35"/>
      <c r="R99" s="35"/>
      <c r="S99" s="35"/>
      <c r="T99" s="91"/>
      <c r="U99" s="91"/>
    </row>
    <row r="100" spans="1:21" ht="33" customHeight="1" x14ac:dyDescent="0.25">
      <c r="A100" s="31" t="s">
        <v>118</v>
      </c>
      <c r="B100" s="16" t="s">
        <v>56</v>
      </c>
      <c r="D100" s="212" t="s">
        <v>251</v>
      </c>
      <c r="E100" s="212"/>
      <c r="F100" s="212"/>
      <c r="H100" s="139"/>
      <c r="I100" s="140"/>
      <c r="J100" s="141"/>
      <c r="K100" s="137"/>
      <c r="L100" s="137"/>
      <c r="M100" s="137"/>
      <c r="N100" s="35"/>
      <c r="O100" s="35"/>
      <c r="P100" s="35"/>
      <c r="Q100" s="35"/>
      <c r="R100" s="35"/>
      <c r="S100" s="35"/>
      <c r="T100" s="91"/>
      <c r="U100" s="91"/>
    </row>
    <row r="101" spans="1:21" ht="33" customHeight="1" x14ac:dyDescent="0.25">
      <c r="A101" s="31" t="s">
        <v>72</v>
      </c>
      <c r="B101" s="16" t="s">
        <v>57</v>
      </c>
      <c r="C101" s="119" t="s">
        <v>46</v>
      </c>
      <c r="D101" s="212" t="s">
        <v>251</v>
      </c>
      <c r="E101" s="212"/>
      <c r="F101" s="212"/>
      <c r="H101" s="139"/>
      <c r="I101" s="140"/>
      <c r="J101" s="141"/>
      <c r="K101" s="137"/>
      <c r="L101" s="137"/>
      <c r="M101" s="137"/>
    </row>
    <row r="102" spans="1:21" ht="33" customHeight="1" thickBot="1" x14ac:dyDescent="0.3">
      <c r="A102" s="32" t="str">
        <f>IF(B68=65,"Does heat pump reach a flow temperature of &gt;=65oC","Does heat pump reach a flow temperature of &gt;=60oC")</f>
        <v>Does heat pump reach a flow temperature of &gt;=65oC</v>
      </c>
      <c r="B102" s="20" t="s">
        <v>57</v>
      </c>
      <c r="C102" s="119" t="s">
        <v>46</v>
      </c>
      <c r="D102" s="212" t="s">
        <v>203</v>
      </c>
      <c r="E102" s="212"/>
      <c r="F102" s="212"/>
      <c r="H102" s="139"/>
      <c r="I102" s="140"/>
      <c r="J102" s="146"/>
      <c r="K102" s="140"/>
      <c r="L102" s="140"/>
      <c r="M102" s="137"/>
      <c r="N102" s="92" t="s">
        <v>46</v>
      </c>
    </row>
    <row r="103" spans="1:21" ht="37.5" customHeight="1" x14ac:dyDescent="0.25">
      <c r="H103" s="139"/>
      <c r="I103" s="140"/>
      <c r="J103" s="141"/>
      <c r="K103" s="140"/>
      <c r="L103" s="140"/>
      <c r="M103" s="140"/>
      <c r="N103" s="92" t="s">
        <v>46</v>
      </c>
    </row>
    <row r="104" spans="1:21" ht="31.5" customHeight="1" thickBot="1" x14ac:dyDescent="0.3">
      <c r="A104" s="9" t="s">
        <v>74</v>
      </c>
      <c r="H104" s="139"/>
      <c r="I104" s="140"/>
      <c r="J104" s="141"/>
      <c r="K104" s="140"/>
      <c r="L104" s="140"/>
      <c r="M104" s="140"/>
    </row>
    <row r="105" spans="1:21" ht="31.5" customHeight="1" x14ac:dyDescent="0.25">
      <c r="A105" s="33" t="s">
        <v>401</v>
      </c>
      <c r="B105" s="168" t="s">
        <v>404</v>
      </c>
      <c r="C105" s="92" t="s">
        <v>46</v>
      </c>
      <c r="D105" s="213" t="s">
        <v>252</v>
      </c>
      <c r="E105" s="213"/>
      <c r="F105" s="213"/>
      <c r="H105" s="139"/>
      <c r="I105" s="140"/>
      <c r="J105" s="141"/>
      <c r="K105" s="140"/>
      <c r="L105" s="140"/>
      <c r="M105" s="140"/>
    </row>
    <row r="106" spans="1:21" ht="31.5" customHeight="1" x14ac:dyDescent="0.25">
      <c r="A106" s="31" t="str">
        <f>B105</f>
        <v>Water heating energy efficiency, ηwh</v>
      </c>
      <c r="B106" s="132">
        <v>119</v>
      </c>
      <c r="C106" s="92" t="str">
        <f>IF(B105="Coefficient of Performance, COP","kW/kW","%")</f>
        <v>%</v>
      </c>
      <c r="D106" s="213" t="s">
        <v>252</v>
      </c>
      <c r="E106" s="213"/>
      <c r="F106" s="213"/>
      <c r="H106" s="139"/>
      <c r="I106" s="140"/>
      <c r="J106" s="141"/>
      <c r="K106" s="140"/>
      <c r="L106" s="140"/>
      <c r="M106" s="140"/>
    </row>
    <row r="107" spans="1:21" ht="31.5" customHeight="1" x14ac:dyDescent="0.25">
      <c r="A107" s="169" t="s">
        <v>405</v>
      </c>
      <c r="B107" s="170">
        <f>IF(B105="Coefficient of Performance, COP",B106,B106*2.5/100)</f>
        <v>2.9750000000000001</v>
      </c>
      <c r="C107" s="92" t="s">
        <v>362</v>
      </c>
      <c r="H107" s="139"/>
      <c r="I107" s="140"/>
      <c r="J107" s="141"/>
      <c r="K107" s="140"/>
      <c r="L107" s="140"/>
      <c r="M107" s="140"/>
    </row>
    <row r="108" spans="1:21" ht="31.5" customHeight="1" x14ac:dyDescent="0.25">
      <c r="A108" s="31" t="s">
        <v>75</v>
      </c>
      <c r="B108" s="132">
        <v>55</v>
      </c>
      <c r="C108" s="99" t="s">
        <v>32</v>
      </c>
      <c r="D108" s="213" t="s">
        <v>409</v>
      </c>
      <c r="E108" s="213"/>
      <c r="F108" s="213"/>
      <c r="H108" s="139"/>
      <c r="I108" s="140"/>
      <c r="J108" s="141"/>
      <c r="K108" s="140"/>
      <c r="L108" s="140"/>
      <c r="M108" s="140"/>
    </row>
    <row r="109" spans="1:21" ht="31.5" customHeight="1" x14ac:dyDescent="0.25">
      <c r="A109" s="31" t="s">
        <v>186</v>
      </c>
      <c r="B109" s="42">
        <f>IF(B25="Air to Water",7,IF(B25="Water to Water",10,IF(B25="Exhaust Air to Water",20,0)))</f>
        <v>7</v>
      </c>
      <c r="C109" s="99" t="s">
        <v>32</v>
      </c>
      <c r="D109" s="213" t="s">
        <v>363</v>
      </c>
      <c r="E109" s="213"/>
      <c r="F109" s="213"/>
      <c r="H109" s="139"/>
      <c r="I109" s="140"/>
      <c r="J109" s="141"/>
      <c r="K109" s="140"/>
      <c r="L109" s="140"/>
      <c r="M109" s="140"/>
    </row>
    <row r="110" spans="1:21" ht="31.5" customHeight="1" x14ac:dyDescent="0.25">
      <c r="A110" s="31" t="s">
        <v>187</v>
      </c>
      <c r="B110" s="132">
        <v>6.41</v>
      </c>
      <c r="C110" s="92" t="s">
        <v>53</v>
      </c>
      <c r="D110" s="213" t="s">
        <v>364</v>
      </c>
      <c r="E110" s="213"/>
      <c r="F110" s="213"/>
      <c r="H110" s="139"/>
      <c r="I110" s="140"/>
      <c r="J110" s="146"/>
      <c r="K110" s="140"/>
      <c r="L110" s="140"/>
      <c r="M110" s="140"/>
    </row>
    <row r="111" spans="1:21" ht="31.5" customHeight="1" x14ac:dyDescent="0.25">
      <c r="A111" s="41" t="s">
        <v>385</v>
      </c>
      <c r="B111" s="134" t="s">
        <v>227</v>
      </c>
      <c r="D111" s="213" t="s">
        <v>364</v>
      </c>
      <c r="E111" s="213"/>
      <c r="F111" s="213"/>
      <c r="H111" s="139"/>
      <c r="I111" s="140"/>
      <c r="J111" s="146"/>
      <c r="K111" s="140"/>
      <c r="L111" s="140"/>
      <c r="M111" s="140"/>
    </row>
    <row r="112" spans="1:21" ht="31.5" customHeight="1" x14ac:dyDescent="0.25">
      <c r="A112" s="41" t="s">
        <v>185</v>
      </c>
      <c r="B112" s="134">
        <v>1.2</v>
      </c>
      <c r="C112" s="92" t="s">
        <v>71</v>
      </c>
      <c r="D112" s="213" t="s">
        <v>390</v>
      </c>
      <c r="E112" s="213"/>
      <c r="F112" s="213"/>
      <c r="H112" s="139"/>
      <c r="I112" s="140"/>
      <c r="J112" s="146"/>
      <c r="K112" s="140"/>
      <c r="L112" s="140"/>
      <c r="M112" s="140"/>
    </row>
    <row r="113" spans="1:14" ht="31.5" customHeight="1" thickBot="1" x14ac:dyDescent="0.3">
      <c r="A113" s="32" t="s">
        <v>131</v>
      </c>
      <c r="B113" s="135">
        <v>209</v>
      </c>
      <c r="C113" s="92" t="s">
        <v>70</v>
      </c>
      <c r="D113" s="213" t="s">
        <v>252</v>
      </c>
      <c r="E113" s="213"/>
      <c r="F113" s="213"/>
      <c r="H113" s="139"/>
      <c r="I113" s="140"/>
      <c r="J113" s="146"/>
      <c r="K113" s="140"/>
      <c r="L113" s="140"/>
      <c r="M113" s="140"/>
    </row>
    <row r="114" spans="1:14" ht="111" customHeight="1" x14ac:dyDescent="0.25">
      <c r="D114" s="214" t="str">
        <f>IF(B18="Yes","NOTE: Assessor must verify that the installed storage volume is greater than used in test results",IF('DHW Calc'!U14&gt;0,'DHW Calc'!U16,IF('DHW Calc'!V14&gt;0,'DHW Calc'!V16,"")))</f>
        <v/>
      </c>
      <c r="E114" s="214"/>
      <c r="F114" s="214"/>
      <c r="H114" s="139"/>
      <c r="I114" s="140"/>
      <c r="J114" s="141"/>
      <c r="K114" s="140"/>
      <c r="L114" s="140"/>
      <c r="M114" s="140"/>
    </row>
    <row r="115" spans="1:14" x14ac:dyDescent="0.25">
      <c r="H115" s="139"/>
      <c r="I115" s="140"/>
      <c r="J115" s="141"/>
      <c r="K115" s="140"/>
      <c r="L115" s="140"/>
      <c r="M115" s="140"/>
    </row>
    <row r="116" spans="1:14" ht="30.75" customHeight="1" thickBot="1" x14ac:dyDescent="0.3">
      <c r="A116" s="9" t="s">
        <v>274</v>
      </c>
      <c r="H116" s="139"/>
      <c r="I116" s="140"/>
      <c r="J116" s="141"/>
      <c r="K116" s="140"/>
      <c r="L116" s="140"/>
      <c r="M116" s="140"/>
    </row>
    <row r="117" spans="1:14" ht="30.75" customHeight="1" x14ac:dyDescent="0.25">
      <c r="A117" s="33" t="s">
        <v>76</v>
      </c>
      <c r="B117" s="133">
        <v>0</v>
      </c>
      <c r="C117" s="92" t="s">
        <v>362</v>
      </c>
      <c r="D117" s="212" t="s">
        <v>254</v>
      </c>
      <c r="E117" s="212"/>
      <c r="F117" s="212"/>
      <c r="H117" s="139"/>
      <c r="I117" s="140"/>
      <c r="J117" s="141"/>
      <c r="K117" s="137"/>
      <c r="L117" s="137"/>
      <c r="M117" s="137"/>
    </row>
    <row r="118" spans="1:14" ht="30.75" customHeight="1" x14ac:dyDescent="0.25">
      <c r="A118" s="31" t="s">
        <v>75</v>
      </c>
      <c r="B118" s="132">
        <v>0</v>
      </c>
      <c r="C118" s="99" t="s">
        <v>32</v>
      </c>
      <c r="D118" s="212" t="s">
        <v>410</v>
      </c>
      <c r="E118" s="212"/>
      <c r="F118" s="212"/>
      <c r="H118" s="139"/>
      <c r="I118" s="140"/>
      <c r="J118" s="141"/>
      <c r="K118" s="137"/>
      <c r="L118" s="137"/>
      <c r="M118" s="137"/>
    </row>
    <row r="119" spans="1:14" ht="30.75" customHeight="1" thickBot="1" x14ac:dyDescent="0.3">
      <c r="A119" s="32" t="s">
        <v>103</v>
      </c>
      <c r="B119" s="135">
        <v>0</v>
      </c>
      <c r="C119" s="92" t="s">
        <v>53</v>
      </c>
      <c r="D119" s="212" t="s">
        <v>254</v>
      </c>
      <c r="E119" s="212"/>
      <c r="F119" s="212"/>
      <c r="H119" s="139"/>
      <c r="I119" s="140"/>
      <c r="J119" s="141"/>
      <c r="K119" s="140"/>
      <c r="L119" s="140"/>
      <c r="M119" s="140"/>
    </row>
    <row r="120" spans="1:14" ht="18.75" customHeight="1" thickBot="1" x14ac:dyDescent="0.3">
      <c r="H120" s="139"/>
      <c r="I120" s="140"/>
      <c r="J120" s="146"/>
      <c r="K120" s="140"/>
      <c r="L120" s="140"/>
      <c r="M120" s="140"/>
      <c r="N120" s="116" t="s">
        <v>46</v>
      </c>
    </row>
    <row r="121" spans="1:14" ht="28.5" customHeight="1" thickBot="1" x14ac:dyDescent="0.3">
      <c r="A121" s="100" t="s">
        <v>253</v>
      </c>
      <c r="B121" s="62"/>
      <c r="C121" s="62"/>
      <c r="D121" s="61"/>
      <c r="E121" s="61"/>
      <c r="F121" s="61"/>
      <c r="G121" s="40"/>
      <c r="H121" s="143"/>
      <c r="I121" s="140"/>
      <c r="J121" s="145"/>
      <c r="K121" s="144"/>
      <c r="L121" s="144"/>
      <c r="M121" s="144"/>
    </row>
    <row r="122" spans="1:14" ht="30.75" customHeight="1" thickBot="1" x14ac:dyDescent="0.3">
      <c r="A122" s="120" t="s">
        <v>116</v>
      </c>
      <c r="H122" s="139"/>
      <c r="I122" s="140"/>
      <c r="J122" s="141"/>
      <c r="K122" s="140"/>
      <c r="L122" s="140"/>
      <c r="M122" s="140"/>
    </row>
    <row r="123" spans="1:14" ht="30.75" customHeight="1" x14ac:dyDescent="0.25">
      <c r="A123" s="121" t="s">
        <v>127</v>
      </c>
      <c r="B123" s="156" t="e">
        <f>IF(B28="I.S. EN 14825",IF(AN3&gt;0,"Errors present in Tool, please correct",'Heating Calc'!H71),B99)</f>
        <v>#VALUE!</v>
      </c>
      <c r="C123" s="92" t="s">
        <v>193</v>
      </c>
      <c r="D123" s="212" t="s">
        <v>281</v>
      </c>
      <c r="E123" s="212"/>
      <c r="F123" s="212"/>
      <c r="G123" s="92" t="s">
        <v>46</v>
      </c>
      <c r="H123" s="139"/>
      <c r="I123" s="140"/>
      <c r="J123" s="141"/>
      <c r="K123" s="140"/>
      <c r="L123" s="140"/>
      <c r="M123" s="140"/>
    </row>
    <row r="124" spans="1:14" ht="30.75" customHeight="1" x14ac:dyDescent="0.25">
      <c r="A124" s="122" t="s">
        <v>129</v>
      </c>
      <c r="B124" s="123">
        <f>IF($B$28="I.S. EN 14825",1,IF(B45=35,1,IF(B45&lt;50,0.85,IF(B100="Yes",0.75,0.7))))</f>
        <v>1</v>
      </c>
      <c r="D124" s="212" t="s">
        <v>281</v>
      </c>
      <c r="E124" s="212"/>
      <c r="F124" s="212"/>
      <c r="H124" s="139"/>
      <c r="I124" s="140"/>
      <c r="J124" s="141"/>
      <c r="K124" s="140"/>
      <c r="L124" s="140"/>
      <c r="M124" s="140"/>
    </row>
    <row r="125" spans="1:14" ht="30.75" customHeight="1" x14ac:dyDescent="0.25">
      <c r="A125" s="122" t="s">
        <v>128</v>
      </c>
      <c r="B125" s="124" t="e">
        <f>IF(B29="I.S. EN 16147",'DHW Calc'!B30,IF(B29="I.S. EN 255-3",'DHW Calc'!B57,'DHW Calc'!B75))</f>
        <v>#VALUE!</v>
      </c>
      <c r="C125" s="92" t="s">
        <v>193</v>
      </c>
      <c r="D125" s="212" t="s">
        <v>282</v>
      </c>
      <c r="E125" s="212"/>
      <c r="F125" s="212"/>
      <c r="H125" s="139"/>
      <c r="I125" s="140"/>
      <c r="J125" s="141"/>
      <c r="K125" s="140"/>
      <c r="L125" s="140"/>
      <c r="M125" s="140"/>
    </row>
    <row r="126" spans="1:14" ht="30.75" customHeight="1" thickBot="1" x14ac:dyDescent="0.3">
      <c r="A126" s="125" t="s">
        <v>130</v>
      </c>
      <c r="B126" s="126">
        <f>IF(B29="I.S. EN 14511",IF(AND(B101="No",B102="Yes"),0.7,1),1)</f>
        <v>1</v>
      </c>
      <c r="D126" s="212" t="s">
        <v>282</v>
      </c>
      <c r="E126" s="212"/>
      <c r="F126" s="212"/>
      <c r="H126" s="139"/>
      <c r="I126" s="140"/>
      <c r="J126" s="141"/>
      <c r="K126" s="140"/>
      <c r="L126" s="140"/>
      <c r="M126" s="140"/>
    </row>
    <row r="127" spans="1:14" ht="30.75" customHeight="1" thickBot="1" x14ac:dyDescent="0.3">
      <c r="H127" s="139"/>
      <c r="I127" s="140"/>
      <c r="J127" s="141"/>
      <c r="K127" s="140"/>
      <c r="L127" s="140"/>
      <c r="M127" s="140"/>
    </row>
    <row r="128" spans="1:14" ht="86.25" customHeight="1" thickBot="1" x14ac:dyDescent="0.3">
      <c r="A128" s="127" t="s">
        <v>8</v>
      </c>
      <c r="B128" s="128">
        <f>IF($B$25="Exhaust Air to Water","Please refer to guidance on how to deal with renewable contribution from Exhaust Air Heat Pumps",(IF($B$28="I.S. EN 14825",'Heating Calc'!H82,0))+(IF($B$29="I.S. EN 16147",'DHW Calc'!B40,IF($B$29="I.S. EN 255-3",'DHW Calc'!B67,'DHW Calc'!B87))))</f>
        <v>0</v>
      </c>
      <c r="C128" s="92" t="s">
        <v>272</v>
      </c>
      <c r="D128" s="212" t="s">
        <v>414</v>
      </c>
      <c r="E128" s="212"/>
      <c r="F128" s="212"/>
      <c r="H128" s="139"/>
      <c r="I128" s="140"/>
      <c r="J128" s="141"/>
      <c r="K128" s="140"/>
      <c r="L128" s="140"/>
      <c r="M128" s="140"/>
    </row>
    <row r="129" spans="8:13" x14ac:dyDescent="0.25">
      <c r="H129" s="139"/>
      <c r="I129" s="140"/>
      <c r="J129" s="141"/>
      <c r="K129" s="140"/>
      <c r="L129" s="140"/>
      <c r="M129" s="140"/>
    </row>
    <row r="130" spans="8:13" ht="32.25" customHeight="1" x14ac:dyDescent="0.25">
      <c r="H130" s="139"/>
      <c r="I130" s="140"/>
      <c r="J130" s="141"/>
      <c r="K130" s="137"/>
      <c r="L130" s="137"/>
      <c r="M130" s="137"/>
    </row>
    <row r="131" spans="8:13" x14ac:dyDescent="0.25">
      <c r="H131" s="139"/>
      <c r="I131" s="140"/>
      <c r="J131" s="141"/>
      <c r="K131" s="140"/>
      <c r="L131" s="140"/>
      <c r="M131" s="140"/>
    </row>
    <row r="132" spans="8:13" x14ac:dyDescent="0.25">
      <c r="H132" s="139"/>
      <c r="I132" s="140"/>
      <c r="J132" s="141"/>
      <c r="K132" s="140"/>
      <c r="L132" s="140"/>
      <c r="M132" s="140"/>
    </row>
    <row r="133" spans="8:13" x14ac:dyDescent="0.25">
      <c r="H133" s="139"/>
      <c r="I133" s="140"/>
      <c r="J133" s="141"/>
      <c r="K133" s="140"/>
      <c r="L133" s="140"/>
      <c r="M133" s="140"/>
    </row>
    <row r="134" spans="8:13" x14ac:dyDescent="0.25">
      <c r="H134" s="139"/>
      <c r="I134" s="140"/>
      <c r="J134" s="141"/>
      <c r="K134" s="140"/>
      <c r="L134" s="140"/>
      <c r="M134" s="140"/>
    </row>
    <row r="135" spans="8:13" x14ac:dyDescent="0.25">
      <c r="H135" s="139"/>
      <c r="I135" s="140"/>
      <c r="J135" s="141"/>
      <c r="K135" s="140"/>
      <c r="L135" s="140"/>
      <c r="M135" s="140"/>
    </row>
    <row r="136" spans="8:13" x14ac:dyDescent="0.25">
      <c r="H136" s="139"/>
      <c r="I136" s="140"/>
      <c r="J136" s="141"/>
      <c r="K136" s="140"/>
      <c r="L136" s="140"/>
      <c r="M136" s="140"/>
    </row>
  </sheetData>
  <sheetProtection algorithmName="SHA-512" hashValue="IOCO2z2ysaQLHxxOZIdEiRvFO9XjVmb9vwHST44T/XszONsOiObjQNznNG7dOitZ4wQtRtTaj0YfIqjOq/L4Tw==" saltValue="0FFhZxPzkbhablT1C2Q2Ew==" spinCount="100000" sheet="1" objects="1" scenarios="1"/>
  <mergeCells count="66">
    <mergeCell ref="D25:F25"/>
    <mergeCell ref="D30:F30"/>
    <mergeCell ref="D33:F33"/>
    <mergeCell ref="D52:F52"/>
    <mergeCell ref="D49:F49"/>
    <mergeCell ref="D51:F51"/>
    <mergeCell ref="D39:F39"/>
    <mergeCell ref="D42:F42"/>
    <mergeCell ref="D44:F44"/>
    <mergeCell ref="D31:F31"/>
    <mergeCell ref="D45:F45"/>
    <mergeCell ref="D46:F46"/>
    <mergeCell ref="D47:F47"/>
    <mergeCell ref="D35:F35"/>
    <mergeCell ref="D128:F128"/>
    <mergeCell ref="A1:D1"/>
    <mergeCell ref="D3:G3"/>
    <mergeCell ref="D16:F16"/>
    <mergeCell ref="D17:F17"/>
    <mergeCell ref="D26:F26"/>
    <mergeCell ref="D27:F27"/>
    <mergeCell ref="D36:F36"/>
    <mergeCell ref="D28:F28"/>
    <mergeCell ref="D29:F29"/>
    <mergeCell ref="D20:F20"/>
    <mergeCell ref="D23:F23"/>
    <mergeCell ref="D24:F24"/>
    <mergeCell ref="D53:F53"/>
    <mergeCell ref="D34:F34"/>
    <mergeCell ref="D38:F38"/>
    <mergeCell ref="D55:F55"/>
    <mergeCell ref="D57:F57"/>
    <mergeCell ref="D101:F101"/>
    <mergeCell ref="D102:F102"/>
    <mergeCell ref="D60:F60"/>
    <mergeCell ref="D64:F64"/>
    <mergeCell ref="D67:F67"/>
    <mergeCell ref="D68:F68"/>
    <mergeCell ref="D58:F58"/>
    <mergeCell ref="D65:F65"/>
    <mergeCell ref="D4:G4"/>
    <mergeCell ref="D109:F109"/>
    <mergeCell ref="D126:F126"/>
    <mergeCell ref="D112:F112"/>
    <mergeCell ref="D113:F113"/>
    <mergeCell ref="D117:F117"/>
    <mergeCell ref="D118:F118"/>
    <mergeCell ref="D69:F69"/>
    <mergeCell ref="D76:F76"/>
    <mergeCell ref="D70:F70"/>
    <mergeCell ref="D74:F74"/>
    <mergeCell ref="D75:F75"/>
    <mergeCell ref="D123:F123"/>
    <mergeCell ref="D77:F77"/>
    <mergeCell ref="D99:F99"/>
    <mergeCell ref="D78:F78"/>
    <mergeCell ref="D124:F124"/>
    <mergeCell ref="D125:F125"/>
    <mergeCell ref="D100:F100"/>
    <mergeCell ref="D108:F108"/>
    <mergeCell ref="D105:F105"/>
    <mergeCell ref="D110:F110"/>
    <mergeCell ref="D119:F119"/>
    <mergeCell ref="D111:F111"/>
    <mergeCell ref="D114:F114"/>
    <mergeCell ref="D106:F106"/>
  </mergeCells>
  <phoneticPr fontId="3" type="noConversion"/>
  <conditionalFormatting sqref="B117:B119">
    <cfRule type="expression" dxfId="27" priority="19" stopIfTrue="1">
      <formula>OR($B$29="I.S. EN 16147",$B$29="I.S. EN 14511")</formula>
    </cfRule>
  </conditionalFormatting>
  <conditionalFormatting sqref="B123:B124">
    <cfRule type="expression" dxfId="26" priority="20" stopIfTrue="1">
      <formula>$B$27="Domestic Hot Water"</formula>
    </cfRule>
  </conditionalFormatting>
  <conditionalFormatting sqref="B125:B126">
    <cfRule type="expression" dxfId="25" priority="21" stopIfTrue="1">
      <formula>$B$27="Space Heating"</formula>
    </cfRule>
  </conditionalFormatting>
  <conditionalFormatting sqref="B36">
    <cfRule type="expression" dxfId="24" priority="10" stopIfTrue="1">
      <formula>$B$35="No"</formula>
    </cfRule>
  </conditionalFormatting>
  <conditionalFormatting sqref="B53:B56">
    <cfRule type="expression" dxfId="23" priority="11" stopIfTrue="1">
      <formula>$B$52="No"</formula>
    </cfRule>
  </conditionalFormatting>
  <conditionalFormatting sqref="B58:B61">
    <cfRule type="expression" dxfId="22" priority="12" stopIfTrue="1">
      <formula>$B$57="No"</formula>
    </cfRule>
  </conditionalFormatting>
  <conditionalFormatting sqref="B74 C75:C78">
    <cfRule type="expression" dxfId="21" priority="13" stopIfTrue="1">
      <formula>OR($B$28="I.S. EN 14511")</formula>
    </cfRule>
  </conditionalFormatting>
  <conditionalFormatting sqref="C80:G83">
    <cfRule type="expression" dxfId="20" priority="14" stopIfTrue="1">
      <formula>OR($B$28="I.S. EN 14511",$C$75="No")</formula>
    </cfRule>
  </conditionalFormatting>
  <conditionalFormatting sqref="C88:G91">
    <cfRule type="expression" dxfId="19" priority="15" stopIfTrue="1">
      <formula>OR($B$28="I.S. EN 14511")</formula>
    </cfRule>
  </conditionalFormatting>
  <conditionalFormatting sqref="C92:G95">
    <cfRule type="expression" dxfId="18" priority="16" stopIfTrue="1">
      <formula>OR($B$28="I.S. EN 14511",$C$77="No")</formula>
    </cfRule>
  </conditionalFormatting>
  <conditionalFormatting sqref="B98:B102">
    <cfRule type="expression" dxfId="17" priority="17" stopIfTrue="1">
      <formula>AND($B$28="I.S. EN 14825",OR($B$29="I.S. EN 16147",$B$29="I.S. EN 255-3"))</formula>
    </cfRule>
  </conditionalFormatting>
  <conditionalFormatting sqref="B19:B21">
    <cfRule type="expression" dxfId="16" priority="9" stopIfTrue="1">
      <formula>$B$18="No"</formula>
    </cfRule>
  </conditionalFormatting>
  <conditionalFormatting sqref="B26">
    <cfRule type="expression" dxfId="15" priority="35" stopIfTrue="1">
      <formula>$B$28="I.S. EN 14511"</formula>
    </cfRule>
  </conditionalFormatting>
  <conditionalFormatting sqref="B28">
    <cfRule type="expression" dxfId="14" priority="36" stopIfTrue="1">
      <formula>$B$27="Domestic Hot Water"</formula>
    </cfRule>
  </conditionalFormatting>
  <conditionalFormatting sqref="B30:B31 B52 B33:B35">
    <cfRule type="expression" dxfId="13" priority="37" stopIfTrue="1">
      <formula>OR($B$28="I.S. EN 14511",$B$27="Domestic Hot Water")</formula>
    </cfRule>
  </conditionalFormatting>
  <conditionalFormatting sqref="B57 B64:B65">
    <cfRule type="expression" dxfId="12" priority="39" stopIfTrue="1">
      <formula>OR($B$27="Space Heating")</formula>
    </cfRule>
  </conditionalFormatting>
  <conditionalFormatting sqref="C84:G87">
    <cfRule type="expression" dxfId="11" priority="7">
      <formula>$C$76="No"</formula>
    </cfRule>
  </conditionalFormatting>
  <conditionalFormatting sqref="C84:G87">
    <cfRule type="expression" dxfId="10" priority="58" stopIfTrue="1">
      <formula>OR($B$28="I.S. EN 14511",$C$76="No")</formula>
    </cfRule>
  </conditionalFormatting>
  <conditionalFormatting sqref="B29">
    <cfRule type="expression" dxfId="9" priority="59" stopIfTrue="1">
      <formula>$B$27="Space heating"</formula>
    </cfRule>
  </conditionalFormatting>
  <conditionalFormatting sqref="B39 B41:B43 B45">
    <cfRule type="expression" dxfId="8" priority="60" stopIfTrue="1">
      <formula>$B$27="Domestic Hot Water"</formula>
    </cfRule>
  </conditionalFormatting>
  <conditionalFormatting sqref="B69">
    <cfRule type="expression" dxfId="7" priority="61" stopIfTrue="1">
      <formula>OR($B$27="Space Heating",$B$29="I.S. EN 14511",$B$29="I.S. EN 255-3",$B$65="No Hot Water Store")</formula>
    </cfRule>
  </conditionalFormatting>
  <conditionalFormatting sqref="B69">
    <cfRule type="expression" dxfId="6" priority="62" stopIfTrue="1">
      <formula>OR($B$29="I.S. EN 14511",$B$29="I.S. EN 255-3",$B$27="Space heating",$B$65="No Hot Water Store")</formula>
    </cfRule>
  </conditionalFormatting>
  <conditionalFormatting sqref="B49">
    <cfRule type="expression" dxfId="5" priority="85" stopIfTrue="1">
      <formula>AND($B$28="I.S. EN 14511",$B$29="I.S. EN 14511")</formula>
    </cfRule>
  </conditionalFormatting>
  <conditionalFormatting sqref="B107:B113">
    <cfRule type="expression" dxfId="4" priority="86" stopIfTrue="1">
      <formula>OR($B$29="I.S. EN 255-3",$B$29="I.S. EN 14511",$B$27="Space heating")</formula>
    </cfRule>
  </conditionalFormatting>
  <conditionalFormatting sqref="D114:F114">
    <cfRule type="expression" dxfId="3" priority="4">
      <formula>OR($B$27="Space heating",$B$29="I.S. EN 14511",$B$29="I.S. EN 255-3")</formula>
    </cfRule>
  </conditionalFormatting>
  <conditionalFormatting sqref="B57">
    <cfRule type="expression" dxfId="2" priority="3">
      <formula>$B$29="I.S. EN 14511"</formula>
    </cfRule>
  </conditionalFormatting>
  <conditionalFormatting sqref="B106">
    <cfRule type="expression" dxfId="1" priority="2" stopIfTrue="1">
      <formula>OR($B$29="I.S. EN 255-3",$B$29="I.S. EN 14511",$B$27="Space heating")</formula>
    </cfRule>
  </conditionalFormatting>
  <conditionalFormatting sqref="B105">
    <cfRule type="expression" dxfId="0" priority="1">
      <formula>OR($B$29="I.S. EN 255-3",$B$29="I.S. EN 14511",$B$27="Space heating")</formula>
    </cfRule>
  </conditionalFormatting>
  <dataValidations count="14">
    <dataValidation type="list" allowBlank="1" showInputMessage="1" showErrorMessage="1" sqref="B100:B102 B18 B98 C75:C77 B57 B34:B35 B41:B43 B52" xr:uid="{00000000-0002-0000-0000-000000000000}">
      <formula1>$AB$1:$AB$2</formula1>
    </dataValidation>
    <dataValidation allowBlank="1" showInputMessage="1" showErrorMessage="1" errorTitle="Design Flow Temperature" error="The design flow temperature must be between 35oC and 55oC" sqref="B40" xr:uid="{00000000-0002-0000-0000-000001000000}"/>
    <dataValidation type="decimal" allowBlank="1" showInputMessage="1" showErrorMessage="1" errorTitle="Design Flow Temperature" error="The design flow temperature must be between 20oC and 65oC" sqref="B45" xr:uid="{00000000-0002-0000-0000-000002000000}">
      <formula1>20</formula1>
      <formula2>65</formula2>
    </dataValidation>
    <dataValidation type="decimal" allowBlank="1" showInputMessage="1" showErrorMessage="1" error="Value must be between 0 and 1" prompt="Value must be between 0 and 1" sqref="B36" xr:uid="{00000000-0002-0000-0000-000003000000}">
      <formula1>0</formula1>
      <formula2>1</formula2>
    </dataValidation>
    <dataValidation type="list" allowBlank="1" showInputMessage="1" showErrorMessage="1" sqref="B27" xr:uid="{00000000-0002-0000-0000-000004000000}">
      <formula1>$P$1:$P$3</formula1>
    </dataValidation>
    <dataValidation type="list" allowBlank="1" showInputMessage="1" showErrorMessage="1" sqref="B28" xr:uid="{00000000-0002-0000-0000-000005000000}">
      <formula1>$N$1:$N$2</formula1>
    </dataValidation>
    <dataValidation type="list" allowBlank="1" showInputMessage="1" showErrorMessage="1" sqref="B26" xr:uid="{00000000-0002-0000-0000-000006000000}">
      <formula1>$Z$1:$Z$2</formula1>
    </dataValidation>
    <dataValidation type="list" allowBlank="1" showInputMessage="1" showErrorMessage="1" sqref="B53 B58" xr:uid="{00000000-0002-0000-0000-000007000000}">
      <formula1>$W$2:$W$12</formula1>
    </dataValidation>
    <dataValidation type="list" allowBlank="1" showInputMessage="1" showErrorMessage="1" sqref="B65" xr:uid="{00000000-0002-0000-0000-000008000000}">
      <formula1>$AG$1:$AG$4</formula1>
    </dataValidation>
    <dataValidation type="list" allowBlank="1" showInputMessage="1" showErrorMessage="1" sqref="B29" xr:uid="{00000000-0002-0000-0000-000009000000}">
      <formula1>$N$2:$N$4</formula1>
    </dataValidation>
    <dataValidation type="list" allowBlank="1" showInputMessage="1" showErrorMessage="1" sqref="B25" xr:uid="{00000000-0002-0000-0000-00000A000000}">
      <formula1>$S$1:$S$7</formula1>
    </dataValidation>
    <dataValidation type="list" allowBlank="1" showInputMessage="1" showErrorMessage="1" sqref="B49" xr:uid="{00000000-0002-0000-0000-00000B000000}">
      <formula1>$AP$1:$AP$3</formula1>
    </dataValidation>
    <dataValidation type="list" allowBlank="1" showInputMessage="1" showErrorMessage="1" sqref="B111" xr:uid="{00000000-0002-0000-0000-00000C000000}">
      <formula1>$AL$1:$AL$11</formula1>
    </dataValidation>
    <dataValidation type="list" allowBlank="1" showInputMessage="1" showErrorMessage="1" sqref="B105" xr:uid="{00000000-0002-0000-0000-00000D000000}">
      <formula1>$AR$1:$AR$2</formula1>
    </dataValidation>
  </dataValidations>
  <pageMargins left="0.74803149606299213" right="0.74803149606299213" top="0.98425196850393704" bottom="0.98425196850393704" header="0.51181102362204722" footer="0.51181102362204722"/>
  <pageSetup scale="3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I90"/>
  <sheetViews>
    <sheetView zoomScale="70" zoomScaleNormal="70" workbookViewId="0">
      <selection activeCell="A3" sqref="A3"/>
    </sheetView>
  </sheetViews>
  <sheetFormatPr defaultColWidth="9.140625" defaultRowHeight="12.75" x14ac:dyDescent="0.2"/>
  <cols>
    <col min="1" max="1" width="41.85546875" style="174" customWidth="1"/>
    <col min="2" max="2" width="25.42578125" style="174" customWidth="1"/>
    <col min="3" max="3" width="9.5703125" style="174" bestFit="1" customWidth="1"/>
    <col min="4" max="4" width="11.7109375" style="174" bestFit="1" customWidth="1"/>
    <col min="5" max="5" width="12.7109375" style="174" bestFit="1" customWidth="1"/>
    <col min="6" max="6" width="10" style="174" bestFit="1" customWidth="1"/>
    <col min="7" max="7" width="9.5703125" style="174" bestFit="1" customWidth="1"/>
    <col min="8" max="8" width="11.85546875" style="174" customWidth="1"/>
    <col min="9" max="9" width="22.5703125" style="174" customWidth="1"/>
    <col min="10" max="10" width="35.28515625" style="174" customWidth="1"/>
    <col min="11" max="11" width="14.7109375" style="174" customWidth="1"/>
    <col min="12" max="12" width="36.140625" style="184" customWidth="1"/>
    <col min="13" max="13" width="14.7109375" style="174" customWidth="1"/>
    <col min="14" max="14" width="9.140625" style="174"/>
    <col min="15" max="15" width="15.85546875" style="174" customWidth="1"/>
    <col min="16" max="16" width="15.5703125" style="174" customWidth="1"/>
    <col min="17" max="19" width="16.85546875" style="174" customWidth="1"/>
    <col min="20" max="20" width="20" style="174" customWidth="1"/>
    <col min="21" max="21" width="18.5703125" style="174" customWidth="1"/>
    <col min="22" max="22" width="11.28515625" style="174" customWidth="1"/>
    <col min="23" max="23" width="10.85546875" style="174" customWidth="1"/>
    <col min="24" max="24" width="9.140625" style="174"/>
    <col min="25" max="25" width="11.7109375" style="174" customWidth="1"/>
    <col min="26" max="27" width="14.7109375" style="174" customWidth="1"/>
    <col min="28" max="28" width="12.7109375" style="174" customWidth="1"/>
    <col min="29" max="29" width="26" style="184" customWidth="1"/>
    <col min="30" max="31" width="11.42578125" style="174" customWidth="1"/>
    <col min="32" max="16384" width="9.140625" style="174"/>
  </cols>
  <sheetData>
    <row r="1" spans="1:35" ht="18.75" thickBot="1" x14ac:dyDescent="0.3">
      <c r="A1" s="173" t="s">
        <v>140</v>
      </c>
      <c r="C1" s="174" t="s">
        <v>89</v>
      </c>
      <c r="D1" s="174" t="s">
        <v>90</v>
      </c>
      <c r="E1" s="174" t="s">
        <v>91</v>
      </c>
      <c r="F1" s="174" t="s">
        <v>92</v>
      </c>
      <c r="G1" s="174" t="s">
        <v>93</v>
      </c>
      <c r="H1" s="174" t="s">
        <v>94</v>
      </c>
      <c r="I1" s="175" t="s">
        <v>280</v>
      </c>
      <c r="J1" s="176"/>
      <c r="K1" s="177"/>
      <c r="L1" s="176"/>
      <c r="M1" s="177"/>
      <c r="N1" s="178"/>
      <c r="O1" s="174" t="s">
        <v>182</v>
      </c>
      <c r="P1" s="174" t="s">
        <v>46</v>
      </c>
      <c r="Q1" s="174" t="s">
        <v>46</v>
      </c>
      <c r="T1" s="179" t="e">
        <f>IF('Input Sheet'!B49=24,(1-AG24)*H8,IF('Input Sheet'!B49=16,(1-AH24)*H8,(1-AI24)*H8))</f>
        <v>#VALUE!</v>
      </c>
      <c r="U1" s="179" t="e">
        <f>H12</f>
        <v>#VALUE!</v>
      </c>
      <c r="AA1" s="174" t="e">
        <f>IF('Input Sheet'!B49=24,(AG24)*H8,IF('Input Sheet'!B49=16,(AH24)*H8,(AI24)*H8))</f>
        <v>#VALUE!</v>
      </c>
      <c r="AC1" s="176"/>
      <c r="AD1" s="177"/>
    </row>
    <row r="2" spans="1:35" x14ac:dyDescent="0.2">
      <c r="A2" s="174" t="s">
        <v>77</v>
      </c>
      <c r="B2" s="175" t="s">
        <v>275</v>
      </c>
      <c r="C2" s="180" t="s">
        <v>276</v>
      </c>
      <c r="D2" s="180" t="s">
        <v>277</v>
      </c>
      <c r="E2" s="180" t="s">
        <v>278</v>
      </c>
      <c r="F2" s="180" t="s">
        <v>283</v>
      </c>
      <c r="G2" s="180" t="s">
        <v>279</v>
      </c>
      <c r="J2" s="181"/>
      <c r="K2" s="182"/>
      <c r="L2" s="183"/>
      <c r="M2" s="182"/>
      <c r="AD2" s="175" t="s">
        <v>46</v>
      </c>
    </row>
    <row r="3" spans="1:35" ht="69.75" customHeight="1" x14ac:dyDescent="0.2">
      <c r="A3" s="174" t="s">
        <v>78</v>
      </c>
      <c r="B3" s="174" t="s">
        <v>79</v>
      </c>
      <c r="C3" s="179">
        <f>'Input Sheet'!B30</f>
        <v>-20</v>
      </c>
      <c r="D3" s="174">
        <v>-7</v>
      </c>
      <c r="E3" s="174">
        <v>2</v>
      </c>
      <c r="F3" s="174">
        <v>7</v>
      </c>
      <c r="G3" s="174">
        <v>12</v>
      </c>
      <c r="I3" s="174" t="s">
        <v>204</v>
      </c>
      <c r="J3" s="181"/>
      <c r="K3" s="182"/>
      <c r="L3" s="183"/>
      <c r="M3" s="185" t="s">
        <v>406</v>
      </c>
      <c r="N3" s="186" t="s">
        <v>53</v>
      </c>
      <c r="O3" s="184" t="s">
        <v>85</v>
      </c>
      <c r="P3" s="184" t="s">
        <v>87</v>
      </c>
      <c r="Q3" s="184" t="s">
        <v>88</v>
      </c>
      <c r="R3" s="184" t="s">
        <v>287</v>
      </c>
      <c r="S3" s="184" t="s">
        <v>288</v>
      </c>
      <c r="T3" s="184" t="s">
        <v>331</v>
      </c>
      <c r="U3" s="184" t="s">
        <v>332</v>
      </c>
      <c r="V3" s="184" t="s">
        <v>333</v>
      </c>
      <c r="W3" s="184" t="s">
        <v>334</v>
      </c>
      <c r="X3" s="186" t="s">
        <v>416</v>
      </c>
      <c r="Y3" s="184" t="s">
        <v>212</v>
      </c>
      <c r="Z3" s="184" t="s">
        <v>181</v>
      </c>
      <c r="AA3" s="186" t="s">
        <v>374</v>
      </c>
      <c r="AB3" s="186" t="s">
        <v>335</v>
      </c>
      <c r="AC3" s="181" t="s">
        <v>372</v>
      </c>
      <c r="AD3" s="182"/>
      <c r="AF3" s="229" t="s">
        <v>373</v>
      </c>
      <c r="AG3" s="229"/>
      <c r="AH3" s="229"/>
      <c r="AI3" s="229"/>
    </row>
    <row r="4" spans="1:35" ht="14.25" x14ac:dyDescent="0.2">
      <c r="A4" s="175" t="s">
        <v>284</v>
      </c>
      <c r="B4" s="174" t="s">
        <v>80</v>
      </c>
      <c r="C4" s="174">
        <v>-12</v>
      </c>
      <c r="D4" s="174">
        <f>(C3+D3)/2</f>
        <v>-13.5</v>
      </c>
      <c r="E4" s="174">
        <f>(D3+E3)/2</f>
        <v>-2.5</v>
      </c>
      <c r="F4" s="174">
        <f>(E3+F3)/2</f>
        <v>4.5</v>
      </c>
      <c r="G4" s="174">
        <f>(F3+G3)/2</f>
        <v>9.5</v>
      </c>
      <c r="I4" s="175" t="s">
        <v>295</v>
      </c>
      <c r="J4" s="181"/>
      <c r="K4" s="182"/>
      <c r="L4" s="183"/>
      <c r="M4" s="187">
        <f>C3</f>
        <v>-20</v>
      </c>
      <c r="N4" s="179">
        <f>C41</f>
        <v>5.3934734631576333</v>
      </c>
      <c r="O4" s="188">
        <v>-12</v>
      </c>
      <c r="P4" s="189">
        <f>'Meteorological data'!F4</f>
        <v>0</v>
      </c>
      <c r="Q4" s="189">
        <f>'Meteorological data'!G4</f>
        <v>0</v>
      </c>
      <c r="R4" s="190">
        <v>0</v>
      </c>
      <c r="S4" s="191">
        <f>R4*((24-'Input Sheet'!$B$50)/24)</f>
        <v>0</v>
      </c>
      <c r="T4" s="191" t="e">
        <f>$T$1*P4</f>
        <v>#VALUE!</v>
      </c>
      <c r="U4" s="191" t="e">
        <f>$U$1*Q4</f>
        <v>#VALUE!</v>
      </c>
      <c r="V4" s="191" t="e">
        <f>IF('Input Sheet'!$B$27="Space heating and Domestic Hot Water",(T4+U4),IF('Input Sheet'!$B$27="Space heating",T4,U4))</f>
        <v>#VALUE!</v>
      </c>
      <c r="W4" s="179">
        <f>'Input Sheet'!$B$39+((('Input Sheet'!$B$45-'Input Sheet'!$B$48)/2)*(('Input Sheet'!$B$39-O4)/('Input Sheet'!$B$39-'Input Sheet'!$B$38)))+((AVERAGE('Input Sheet'!$B$45,'Input Sheet'!$B$48)-'Input Sheet'!$B$39)*(('Input Sheet'!$B$39-O4)/('Input Sheet'!$B$39-'Input Sheet'!$B$38))^(1/'Input Sheet'!$B$46))</f>
        <v>40.94080527694156</v>
      </c>
      <c r="X4" s="179">
        <f>(($X$9-$N$4)/($O$9-$M$4))*(O4-$M$4)+$N$4</f>
        <v>5.7448368511466956</v>
      </c>
      <c r="Y4" s="191" t="e">
        <f t="shared" ref="Y4:Y15" si="0">V4/X4</f>
        <v>#VALUE!</v>
      </c>
      <c r="Z4" s="191" t="e">
        <f>IF((Y4-S4)&lt;0,0,(Y4-S4))</f>
        <v>#VALUE!</v>
      </c>
      <c r="AA4" s="191" t="e">
        <f>$AA$1*P4</f>
        <v>#VALUE!</v>
      </c>
      <c r="AB4" s="191" t="e">
        <f t="shared" ref="AB4:AB31" si="1">X4*Z4</f>
        <v>#VALUE!</v>
      </c>
      <c r="AC4" s="192" t="e">
        <f>AA4+AB4</f>
        <v>#VALUE!</v>
      </c>
      <c r="AD4" s="193"/>
      <c r="AF4" s="194" t="s">
        <v>370</v>
      </c>
      <c r="AG4" s="174">
        <v>24</v>
      </c>
      <c r="AH4" s="174">
        <v>16</v>
      </c>
      <c r="AI4" s="174">
        <v>11</v>
      </c>
    </row>
    <row r="5" spans="1:35" ht="14.25" x14ac:dyDescent="0.2">
      <c r="A5" s="175" t="s">
        <v>285</v>
      </c>
      <c r="B5" s="174" t="s">
        <v>80</v>
      </c>
      <c r="C5" s="174">
        <f>(C3+D3)/2</f>
        <v>-13.5</v>
      </c>
      <c r="D5" s="174">
        <f>(D3+E3)/2</f>
        <v>-2.5</v>
      </c>
      <c r="E5" s="174">
        <f>(E3+F3)/2</f>
        <v>4.5</v>
      </c>
      <c r="F5" s="174">
        <f>(F3+G3)/2</f>
        <v>9.5</v>
      </c>
      <c r="G5" s="174">
        <v>35</v>
      </c>
      <c r="I5" s="175" t="s">
        <v>294</v>
      </c>
      <c r="J5" s="181"/>
      <c r="K5" s="182"/>
      <c r="L5" s="183"/>
      <c r="M5" s="182"/>
      <c r="O5" s="188">
        <f t="shared" ref="O5:O51" si="2">O4+1</f>
        <v>-11</v>
      </c>
      <c r="P5" s="189">
        <f>'Meteorological data'!F5</f>
        <v>0</v>
      </c>
      <c r="Q5" s="189">
        <f>'Meteorological data'!G5</f>
        <v>0</v>
      </c>
      <c r="R5" s="190">
        <v>0</v>
      </c>
      <c r="S5" s="191">
        <f>R5*((24-'Input Sheet'!$B$50)/24)</f>
        <v>0</v>
      </c>
      <c r="T5" s="191" t="e">
        <f t="shared" ref="T5:T31" si="3">$T$1*P5</f>
        <v>#VALUE!</v>
      </c>
      <c r="U5" s="191" t="e">
        <f t="shared" ref="U5:U51" si="4">$U$1*Q5</f>
        <v>#VALUE!</v>
      </c>
      <c r="V5" s="191" t="e">
        <f>IF('Input Sheet'!$B$27="Space heating and Domestic Hot Water",(T5+U5),IF('Input Sheet'!$B$27="Space heating",T5,U5))</f>
        <v>#VALUE!</v>
      </c>
      <c r="W5" s="179">
        <f>'Input Sheet'!$B$39+((('Input Sheet'!$B$45-'Input Sheet'!$B$48)/2)*(('Input Sheet'!$B$39-O5)/('Input Sheet'!$B$39-'Input Sheet'!$B$38)))+((AVERAGE('Input Sheet'!$B$45,'Input Sheet'!$B$48)-'Input Sheet'!$B$39)*(('Input Sheet'!$B$39-O5)/('Input Sheet'!$B$39-'Input Sheet'!$B$38))^(1/'Input Sheet'!$B$46))</f>
        <v>40.294142213523322</v>
      </c>
      <c r="X5" s="179">
        <f t="shared" ref="X5:X7" si="5">(($X$9-$N$4)/($O$9-$M$4))*(O5-$M$4)+$N$4</f>
        <v>5.7887572746453282</v>
      </c>
      <c r="Y5" s="191" t="e">
        <f t="shared" si="0"/>
        <v>#VALUE!</v>
      </c>
      <c r="Z5" s="191" t="e">
        <f t="shared" ref="Z5:Z31" si="6">IF((Y5-S5)&lt;0,0,(Y5-S5))</f>
        <v>#VALUE!</v>
      </c>
      <c r="AA5" s="191" t="e">
        <f t="shared" ref="AA5:AA31" si="7">$AA$1*P5</f>
        <v>#VALUE!</v>
      </c>
      <c r="AB5" s="191" t="e">
        <f t="shared" si="1"/>
        <v>#VALUE!</v>
      </c>
      <c r="AC5" s="192" t="e">
        <f t="shared" ref="AC5:AC31" si="8">AA5+AB5</f>
        <v>#VALUE!</v>
      </c>
      <c r="AD5" s="193"/>
      <c r="AF5" s="174">
        <v>0.2</v>
      </c>
      <c r="AG5" s="174">
        <v>0.4</v>
      </c>
      <c r="AH5" s="174">
        <v>0.53</v>
      </c>
      <c r="AI5" s="174">
        <v>0.64</v>
      </c>
    </row>
    <row r="6" spans="1:35" ht="14.25" x14ac:dyDescent="0.2">
      <c r="A6" s="195" t="s">
        <v>412</v>
      </c>
      <c r="C6" s="174">
        <f>IF(OR('Input Sheet'!$B$25="Air to Water",'Input Sheet'!$B$25="Exhaust Air to Water",'Input Sheet'!$B$25="Air to Air"),'Heating Calc'!C3,IF(OR('Input Sheet'!$B$25="Water to Water",'Input Sheet'!$B$25="Water to Air"),10,0))</f>
        <v>-20</v>
      </c>
      <c r="D6" s="174">
        <f>IF(OR('Input Sheet'!$B$25="Air to Water",'Input Sheet'!$B$25="Exhaust Air to Water",'Input Sheet'!$B$25="Air to Air"),'Heating Calc'!D3,IF(OR('Input Sheet'!$B$25="Water to Water",'Input Sheet'!$B$25="Water to Air"),10,0))</f>
        <v>-7</v>
      </c>
      <c r="E6" s="174">
        <f>IF(OR('Input Sheet'!$B$25="Air to Water",'Input Sheet'!$B$25="Exhaust Air to Water",'Input Sheet'!$B$25="Air to Air"),'Heating Calc'!E3,IF(OR('Input Sheet'!$B$25="Water to Water",'Input Sheet'!$B$25="Water to Air"),10,0))</f>
        <v>2</v>
      </c>
      <c r="F6" s="174">
        <f>IF(OR('Input Sheet'!$B$25="Air to Water",'Input Sheet'!$B$25="Exhaust Air to Water",'Input Sheet'!$B$25="Air to Air"),'Heating Calc'!F3,IF(OR('Input Sheet'!$B$25="Water to Water",'Input Sheet'!$B$25="Water to Air"),10,0))</f>
        <v>7</v>
      </c>
      <c r="G6" s="174">
        <f>IF(OR('Input Sheet'!$B$25="Air to Water",'Input Sheet'!$B$25="Exhaust Air to Water",'Input Sheet'!$B$25="Air to Air"),'Heating Calc'!G3,IF(OR('Input Sheet'!$B$25="Water to Water",'Input Sheet'!$B$25="Water to Air"),10,0))</f>
        <v>12</v>
      </c>
      <c r="J6" s="181"/>
      <c r="K6" s="193"/>
      <c r="L6" s="183"/>
      <c r="M6" s="193"/>
      <c r="N6" s="184"/>
      <c r="O6" s="188">
        <f t="shared" si="2"/>
        <v>-10</v>
      </c>
      <c r="P6" s="189">
        <f>'Meteorological data'!F6</f>
        <v>0</v>
      </c>
      <c r="Q6" s="189">
        <f>'Meteorological data'!G6</f>
        <v>0</v>
      </c>
      <c r="R6" s="190">
        <v>0</v>
      </c>
      <c r="S6" s="191">
        <f>R6*((24-'Input Sheet'!$B$50)/24)</f>
        <v>0</v>
      </c>
      <c r="T6" s="191" t="e">
        <f>$T$1*P6</f>
        <v>#VALUE!</v>
      </c>
      <c r="U6" s="191" t="e">
        <f t="shared" si="4"/>
        <v>#VALUE!</v>
      </c>
      <c r="V6" s="191" t="e">
        <f>IF('Input Sheet'!$B$27="Space heating and Domestic Hot Water",(T6+U6),IF('Input Sheet'!$B$27="Space heating",T6,U6))</f>
        <v>#VALUE!</v>
      </c>
      <c r="W6" s="179">
        <f>'Input Sheet'!$B$39+((('Input Sheet'!$B$45-'Input Sheet'!$B$48)/2)*(('Input Sheet'!$B$39-O6)/('Input Sheet'!$B$39-'Input Sheet'!$B$38)))+((AVERAGE('Input Sheet'!$B$45,'Input Sheet'!$B$48)-'Input Sheet'!$B$39)*(('Input Sheet'!$B$39-O6)/('Input Sheet'!$B$39-'Input Sheet'!$B$38))^(1/'Input Sheet'!$B$46))</f>
        <v>39.644454848858473</v>
      </c>
      <c r="X6" s="179">
        <f t="shared" si="5"/>
        <v>5.8326776981439608</v>
      </c>
      <c r="Y6" s="191" t="e">
        <f t="shared" si="0"/>
        <v>#VALUE!</v>
      </c>
      <c r="Z6" s="191" t="e">
        <f t="shared" si="6"/>
        <v>#VALUE!</v>
      </c>
      <c r="AA6" s="191" t="e">
        <f t="shared" si="7"/>
        <v>#VALUE!</v>
      </c>
      <c r="AB6" s="191" t="e">
        <f t="shared" si="1"/>
        <v>#VALUE!</v>
      </c>
      <c r="AC6" s="192" t="e">
        <f t="shared" si="8"/>
        <v>#VALUE!</v>
      </c>
      <c r="AD6" s="182"/>
      <c r="AF6" s="174">
        <v>0.25</v>
      </c>
      <c r="AG6" s="174">
        <v>0.28000000000000003</v>
      </c>
      <c r="AH6" s="174">
        <v>0.43</v>
      </c>
      <c r="AI6" s="174">
        <v>0.56999999999999995</v>
      </c>
    </row>
    <row r="7" spans="1:35" x14ac:dyDescent="0.2">
      <c r="A7" s="174" t="s">
        <v>100</v>
      </c>
      <c r="B7" s="174" t="s">
        <v>81</v>
      </c>
      <c r="C7" s="179">
        <f>('Meteorological data'!E8-'Meteorological data'!E4)/'Meteorological data'!E31</f>
        <v>0</v>
      </c>
      <c r="D7" s="179">
        <f>('Meteorological data'!E14-'Meteorological data'!E8)/'Meteorological data'!E31</f>
        <v>5.8820364757993654E-3</v>
      </c>
      <c r="E7" s="179">
        <f>('Meteorological data'!E20-'Meteorological data'!E14)/'Meteorological data'!E31</f>
        <v>0.30193856141168873</v>
      </c>
      <c r="F7" s="179">
        <f>('Meteorological data'!E25-'Meteorological data'!E20)/'Meteorological data'!E31</f>
        <v>0.46292344386062445</v>
      </c>
      <c r="G7" s="179">
        <f>('Meteorological data'!E31-'Meteorological data'!E25)/'Meteorological data'!E31</f>
        <v>0.22925595825188747</v>
      </c>
      <c r="H7" s="179">
        <f t="shared" ref="H7:H12" si="9">SUM(C7:G7)</f>
        <v>1</v>
      </c>
      <c r="J7" s="181"/>
      <c r="K7" s="193"/>
      <c r="L7" s="196"/>
      <c r="M7" s="193"/>
      <c r="N7" s="175"/>
      <c r="O7" s="188">
        <f t="shared" si="2"/>
        <v>-9</v>
      </c>
      <c r="P7" s="189">
        <f>'Meteorological data'!F7</f>
        <v>0</v>
      </c>
      <c r="Q7" s="189">
        <f>'Meteorological data'!G7</f>
        <v>0</v>
      </c>
      <c r="R7" s="190">
        <v>0</v>
      </c>
      <c r="S7" s="191">
        <f>R7*((24-'Input Sheet'!$B$50)/24)</f>
        <v>0</v>
      </c>
      <c r="T7" s="191" t="e">
        <f t="shared" si="3"/>
        <v>#VALUE!</v>
      </c>
      <c r="U7" s="191" t="e">
        <f t="shared" si="4"/>
        <v>#VALUE!</v>
      </c>
      <c r="V7" s="191" t="e">
        <f>IF('Input Sheet'!$B$27="Space heating and Domestic Hot Water",(T7+U7),IF('Input Sheet'!$B$27="Space heating",T7,U7))</f>
        <v>#VALUE!</v>
      </c>
      <c r="W7" s="179">
        <f>'Input Sheet'!$B$39+((('Input Sheet'!$B$45-'Input Sheet'!$B$48)/2)*(('Input Sheet'!$B$39-O7)/('Input Sheet'!$B$39-'Input Sheet'!$B$38)))+((AVERAGE('Input Sheet'!$B$45,'Input Sheet'!$B$48)-'Input Sheet'!$B$39)*(('Input Sheet'!$B$39-O7)/('Input Sheet'!$B$39-'Input Sheet'!$B$38))^(1/'Input Sheet'!$B$46))</f>
        <v>38.991617820226111</v>
      </c>
      <c r="X7" s="179">
        <f t="shared" si="5"/>
        <v>5.8765981216425942</v>
      </c>
      <c r="Y7" s="191" t="e">
        <f t="shared" si="0"/>
        <v>#VALUE!</v>
      </c>
      <c r="Z7" s="191" t="e">
        <f t="shared" si="6"/>
        <v>#VALUE!</v>
      </c>
      <c r="AA7" s="191" t="e">
        <f t="shared" si="7"/>
        <v>#VALUE!</v>
      </c>
      <c r="AB7" s="191" t="e">
        <f t="shared" si="1"/>
        <v>#VALUE!</v>
      </c>
      <c r="AC7" s="192" t="e">
        <f t="shared" si="8"/>
        <v>#VALUE!</v>
      </c>
      <c r="AD7" s="193"/>
      <c r="AF7" s="174">
        <v>0.3</v>
      </c>
      <c r="AG7" s="174">
        <v>0.19</v>
      </c>
      <c r="AH7" s="174">
        <v>0.34</v>
      </c>
      <c r="AI7" s="174">
        <v>0.49</v>
      </c>
    </row>
    <row r="8" spans="1:35" x14ac:dyDescent="0.2">
      <c r="A8" s="175" t="s">
        <v>286</v>
      </c>
      <c r="B8" s="174" t="s">
        <v>95</v>
      </c>
      <c r="C8" s="179" t="e">
        <f>IF('Input Sheet'!$B$18="No",'Input Sheet'!$B$37*C7,(('Input Sheet'!$B$37*'Input Sheet'!B19/'Input Sheet'!$B$20)*'Input Sheet'!$B$21)*C7)</f>
        <v>#VALUE!</v>
      </c>
      <c r="D8" s="179" t="e">
        <f>IF('Input Sheet'!$B$18="No",'Input Sheet'!$B$37*D7,(('Input Sheet'!$B$37*'Input Sheet'!B19/'Input Sheet'!$B$20)*'Input Sheet'!$B$21)*D7)</f>
        <v>#VALUE!</v>
      </c>
      <c r="E8" s="179" t="e">
        <f>IF('Input Sheet'!$B$18="No",'Input Sheet'!$B$37*E7,(('Input Sheet'!$B$37*'Input Sheet'!B19/'Input Sheet'!$B$20)*'Input Sheet'!$B$21)*E7)</f>
        <v>#VALUE!</v>
      </c>
      <c r="F8" s="179" t="e">
        <f>IF('Input Sheet'!$B$18="No",'Input Sheet'!$B$37*F7,(('Input Sheet'!$B$37*'Input Sheet'!B19/'Input Sheet'!$B$20)*'Input Sheet'!$B$21)*F7)</f>
        <v>#VALUE!</v>
      </c>
      <c r="G8" s="179" t="e">
        <f>IF('Input Sheet'!$B$18="No",'Input Sheet'!$B$37*G7,(('Input Sheet'!$B$37*'Input Sheet'!B19/'Input Sheet'!$B$20)*'Input Sheet'!$B$21)*G7)</f>
        <v>#VALUE!</v>
      </c>
      <c r="H8" s="179" t="e">
        <f t="shared" si="9"/>
        <v>#VALUE!</v>
      </c>
      <c r="J8" s="181"/>
      <c r="K8" s="182"/>
      <c r="L8" s="183"/>
      <c r="M8" s="182"/>
      <c r="O8" s="188">
        <f t="shared" si="2"/>
        <v>-8</v>
      </c>
      <c r="P8" s="189">
        <f>'Meteorological data'!F8</f>
        <v>0</v>
      </c>
      <c r="Q8" s="189">
        <f>'Meteorological data'!G8</f>
        <v>0</v>
      </c>
      <c r="R8" s="190">
        <v>0</v>
      </c>
      <c r="S8" s="191">
        <f>R8*((24-'Input Sheet'!$B$50)/24)</f>
        <v>0</v>
      </c>
      <c r="T8" s="191" t="e">
        <f t="shared" si="3"/>
        <v>#VALUE!</v>
      </c>
      <c r="U8" s="191" t="e">
        <f t="shared" si="4"/>
        <v>#VALUE!</v>
      </c>
      <c r="V8" s="191" t="e">
        <f>IF('Input Sheet'!$B$27="Space heating and Domestic Hot Water",(T8+U8),IF('Input Sheet'!$B$27="Space heating",T8,U8))</f>
        <v>#VALUE!</v>
      </c>
      <c r="W8" s="179">
        <f>'Input Sheet'!$B$39+((('Input Sheet'!$B$45-'Input Sheet'!$B$48)/2)*(('Input Sheet'!$B$39-O8)/('Input Sheet'!$B$39-'Input Sheet'!$B$38)))+((AVERAGE('Input Sheet'!$B$45,'Input Sheet'!$B$48)-'Input Sheet'!$B$39)*(('Input Sheet'!$B$39-O8)/('Input Sheet'!$B$39-'Input Sheet'!$B$38))^(1/'Input Sheet'!$B$46))</f>
        <v>38.335495756648001</v>
      </c>
      <c r="X8" s="179">
        <f>(($X$9-$N$4)/($O$9-$M$4))*(O8-$M$4)+$N$4</f>
        <v>5.9205185451412268</v>
      </c>
      <c r="Y8" s="191" t="e">
        <f t="shared" si="0"/>
        <v>#VALUE!</v>
      </c>
      <c r="Z8" s="191" t="e">
        <f t="shared" si="6"/>
        <v>#VALUE!</v>
      </c>
      <c r="AA8" s="191" t="e">
        <f t="shared" si="7"/>
        <v>#VALUE!</v>
      </c>
      <c r="AB8" s="191" t="e">
        <f t="shared" si="1"/>
        <v>#VALUE!</v>
      </c>
      <c r="AC8" s="192" t="e">
        <f t="shared" si="8"/>
        <v>#VALUE!</v>
      </c>
      <c r="AD8" s="193"/>
      <c r="AF8" s="174">
        <v>0.35</v>
      </c>
      <c r="AG8" s="174">
        <v>0.12</v>
      </c>
      <c r="AH8" s="174">
        <v>0.27</v>
      </c>
      <c r="AI8" s="174">
        <v>0.42</v>
      </c>
    </row>
    <row r="9" spans="1:35" x14ac:dyDescent="0.2">
      <c r="A9" s="175" t="s">
        <v>287</v>
      </c>
      <c r="B9" s="174" t="s">
        <v>96</v>
      </c>
      <c r="C9" s="174">
        <f>('Meteorological data'!C8-'Meteorological data'!C4)</f>
        <v>0</v>
      </c>
      <c r="D9" s="174">
        <f>('Meteorological data'!C14-'Meteorological data'!C8)</f>
        <v>18</v>
      </c>
      <c r="E9" s="174">
        <f>('Meteorological data'!C20-'Meteorological data'!C14)</f>
        <v>1247</v>
      </c>
      <c r="F9" s="174">
        <f>('Meteorological data'!C25-'Meteorological data'!C20)</f>
        <v>2933</v>
      </c>
      <c r="G9" s="174">
        <f>('Meteorological data'!C51-'Meteorological data'!C25)</f>
        <v>4562</v>
      </c>
      <c r="H9" s="179">
        <f t="shared" si="9"/>
        <v>8760</v>
      </c>
      <c r="J9" s="181"/>
      <c r="K9" s="196"/>
      <c r="L9" s="183"/>
      <c r="M9" s="196"/>
      <c r="O9" s="197">
        <f t="shared" si="2"/>
        <v>-7</v>
      </c>
      <c r="P9" s="198">
        <f>'Meteorological data'!F9</f>
        <v>0</v>
      </c>
      <c r="Q9" s="198">
        <f>'Meteorological data'!G9</f>
        <v>0</v>
      </c>
      <c r="R9" s="199">
        <v>0</v>
      </c>
      <c r="S9" s="200">
        <f>R9*((24-'Input Sheet'!$B$50)/24)</f>
        <v>0</v>
      </c>
      <c r="T9" s="200" t="e">
        <f t="shared" si="3"/>
        <v>#VALUE!</v>
      </c>
      <c r="U9" s="200" t="e">
        <f t="shared" si="4"/>
        <v>#VALUE!</v>
      </c>
      <c r="V9" s="200" t="e">
        <f>IF('Input Sheet'!$B$27="Space heating and Domestic Hot Water",(T9+U9),IF('Input Sheet'!$B$27="Space heating",T9,U9))</f>
        <v>#VALUE!</v>
      </c>
      <c r="W9" s="201">
        <f>'Input Sheet'!$B$39+((('Input Sheet'!$B$45-'Input Sheet'!$B$48)/2)*(('Input Sheet'!$B$39-O9)/('Input Sheet'!$B$39-'Input Sheet'!$B$38)))+((AVERAGE('Input Sheet'!$B$45,'Input Sheet'!$B$48)-'Input Sheet'!$B$39)*(('Input Sheet'!$B$39-O9)/('Input Sheet'!$B$39-'Input Sheet'!$B$38))^(1/'Input Sheet'!$B$46))</f>
        <v>37.675942066169007</v>
      </c>
      <c r="X9" s="201">
        <f>D41</f>
        <v>5.9644389686398593</v>
      </c>
      <c r="Y9" s="200" t="e">
        <f t="shared" si="0"/>
        <v>#VALUE!</v>
      </c>
      <c r="Z9" s="200" t="e">
        <f t="shared" si="6"/>
        <v>#VALUE!</v>
      </c>
      <c r="AA9" s="200" t="e">
        <f t="shared" si="7"/>
        <v>#VALUE!</v>
      </c>
      <c r="AB9" s="200" t="e">
        <f t="shared" si="1"/>
        <v>#VALUE!</v>
      </c>
      <c r="AC9" s="202" t="e">
        <f t="shared" si="8"/>
        <v>#VALUE!</v>
      </c>
      <c r="AD9" s="193"/>
      <c r="AF9" s="174">
        <v>0.4</v>
      </c>
      <c r="AG9" s="174">
        <v>0.06</v>
      </c>
      <c r="AH9" s="174">
        <v>0.2</v>
      </c>
      <c r="AI9" s="174">
        <v>0.35</v>
      </c>
    </row>
    <row r="10" spans="1:35" x14ac:dyDescent="0.2">
      <c r="A10" s="175" t="s">
        <v>288</v>
      </c>
      <c r="B10" s="174" t="s">
        <v>99</v>
      </c>
      <c r="C10" s="174">
        <f>C9*((24-'Input Sheet'!$B$50)/24)</f>
        <v>0</v>
      </c>
      <c r="D10" s="174">
        <f>D9*((24-'Input Sheet'!$B$50)/24)</f>
        <v>18</v>
      </c>
      <c r="E10" s="174">
        <f>E9*((24-'Input Sheet'!$B$50)/24)</f>
        <v>1247</v>
      </c>
      <c r="F10" s="174">
        <f>F9*((24-'Input Sheet'!$B$50)/24)</f>
        <v>2933</v>
      </c>
      <c r="G10" s="174">
        <f>G9*((24-'Input Sheet'!$B$50)/24)</f>
        <v>4562</v>
      </c>
      <c r="H10" s="179">
        <f t="shared" si="9"/>
        <v>8760</v>
      </c>
      <c r="J10" s="181"/>
      <c r="K10" s="182"/>
      <c r="L10" s="183"/>
      <c r="M10" s="182"/>
      <c r="O10" s="188">
        <f t="shared" si="2"/>
        <v>-6</v>
      </c>
      <c r="P10" s="189">
        <f>'Meteorological data'!F10</f>
        <v>0</v>
      </c>
      <c r="Q10" s="189">
        <f>'Meteorological data'!G10</f>
        <v>0</v>
      </c>
      <c r="R10" s="190">
        <v>0</v>
      </c>
      <c r="S10" s="191">
        <f>R10*((24-'Input Sheet'!$B$50)/24)</f>
        <v>0</v>
      </c>
      <c r="T10" s="191" t="e">
        <f t="shared" si="3"/>
        <v>#VALUE!</v>
      </c>
      <c r="U10" s="191" t="e">
        <f t="shared" si="4"/>
        <v>#VALUE!</v>
      </c>
      <c r="V10" s="191" t="e">
        <f>IF('Input Sheet'!$B$27="Space heating and Domestic Hot Water",(T10+U10),IF('Input Sheet'!$B$27="Space heating",T10,U10))</f>
        <v>#VALUE!</v>
      </c>
      <c r="W10" s="179">
        <f>'Input Sheet'!$B$39+((('Input Sheet'!$B$45-'Input Sheet'!$B$48)/2)*(('Input Sheet'!$B$39-O10)/('Input Sheet'!$B$39-'Input Sheet'!$B$38)))+((AVERAGE('Input Sheet'!$B$45,'Input Sheet'!$B$48)-'Input Sheet'!$B$39)*(('Input Sheet'!$B$39-O10)/('Input Sheet'!$B$39-'Input Sheet'!$B$38))^(1/'Input Sheet'!$B$46))</f>
        <v>37.012797522043769</v>
      </c>
      <c r="X10" s="179">
        <f>(($X$18-$X$9)/($O$18-$O$9))*(O10-$O$9)+$X$9</f>
        <v>5.7074875902844351</v>
      </c>
      <c r="Y10" s="191" t="e">
        <f t="shared" si="0"/>
        <v>#VALUE!</v>
      </c>
      <c r="Z10" s="191" t="e">
        <f t="shared" si="6"/>
        <v>#VALUE!</v>
      </c>
      <c r="AA10" s="191" t="e">
        <f t="shared" si="7"/>
        <v>#VALUE!</v>
      </c>
      <c r="AB10" s="191" t="e">
        <f t="shared" si="1"/>
        <v>#VALUE!</v>
      </c>
      <c r="AC10" s="192" t="e">
        <f t="shared" si="8"/>
        <v>#VALUE!</v>
      </c>
      <c r="AD10" s="193"/>
      <c r="AF10" s="174">
        <v>0.45</v>
      </c>
      <c r="AG10" s="174">
        <v>0.03</v>
      </c>
      <c r="AH10" s="174">
        <v>0.14000000000000001</v>
      </c>
      <c r="AI10" s="174">
        <v>0.28999999999999998</v>
      </c>
    </row>
    <row r="11" spans="1:35" x14ac:dyDescent="0.2">
      <c r="A11" s="174" t="s">
        <v>169</v>
      </c>
      <c r="B11" s="174" t="s">
        <v>168</v>
      </c>
      <c r="C11" s="179">
        <f>C10/$H$10</f>
        <v>0</v>
      </c>
      <c r="D11" s="179">
        <f>D10/$H$10</f>
        <v>2.054794520547945E-3</v>
      </c>
      <c r="E11" s="179">
        <f>E10/$H$10</f>
        <v>0.14235159817351598</v>
      </c>
      <c r="F11" s="179">
        <f>F10/$H$10</f>
        <v>0.3348173515981735</v>
      </c>
      <c r="G11" s="179">
        <f>G10/$H$10</f>
        <v>0.52077625570776254</v>
      </c>
      <c r="H11" s="179">
        <f t="shared" si="9"/>
        <v>1</v>
      </c>
      <c r="J11" s="183"/>
      <c r="K11" s="193"/>
      <c r="L11" s="183"/>
      <c r="M11" s="193"/>
      <c r="O11" s="188">
        <f t="shared" si="2"/>
        <v>-5</v>
      </c>
      <c r="P11" s="189">
        <f>'Meteorological data'!F11</f>
        <v>0</v>
      </c>
      <c r="Q11" s="189">
        <f>'Meteorological data'!G11</f>
        <v>0</v>
      </c>
      <c r="R11" s="190">
        <v>0</v>
      </c>
      <c r="S11" s="191">
        <f>R11*((24-'Input Sheet'!$B$50)/24)</f>
        <v>0</v>
      </c>
      <c r="T11" s="191" t="e">
        <f t="shared" si="3"/>
        <v>#VALUE!</v>
      </c>
      <c r="U11" s="191" t="e">
        <f t="shared" si="4"/>
        <v>#VALUE!</v>
      </c>
      <c r="V11" s="191" t="e">
        <f>IF('Input Sheet'!$B$27="Space heating and Domestic Hot Water",(T11+U11),IF('Input Sheet'!$B$27="Space heating",T11,U11))</f>
        <v>#VALUE!</v>
      </c>
      <c r="W11" s="179">
        <f>'Input Sheet'!$B$39+((('Input Sheet'!$B$45-'Input Sheet'!$B$48)/2)*(('Input Sheet'!$B$39-O11)/('Input Sheet'!$B$39-'Input Sheet'!$B$38)))+((AVERAGE('Input Sheet'!$B$45,'Input Sheet'!$B$48)-'Input Sheet'!$B$39)*(('Input Sheet'!$B$39-O11)/('Input Sheet'!$B$39-'Input Sheet'!$B$38))^(1/'Input Sheet'!$B$46))</f>
        <v>36.345888604756666</v>
      </c>
      <c r="X11" s="179">
        <f t="shared" ref="X11:X17" si="10">(($X$18-$X$9)/($O$18-$O$9))*(O11-$O$9)+$X$9</f>
        <v>5.4505362119290099</v>
      </c>
      <c r="Y11" s="191" t="e">
        <f t="shared" si="0"/>
        <v>#VALUE!</v>
      </c>
      <c r="Z11" s="191" t="e">
        <f t="shared" si="6"/>
        <v>#VALUE!</v>
      </c>
      <c r="AA11" s="191" t="e">
        <f t="shared" si="7"/>
        <v>#VALUE!</v>
      </c>
      <c r="AB11" s="191" t="e">
        <f t="shared" si="1"/>
        <v>#VALUE!</v>
      </c>
      <c r="AC11" s="192" t="e">
        <f t="shared" si="8"/>
        <v>#VALUE!</v>
      </c>
      <c r="AD11" s="193"/>
      <c r="AF11" s="174">
        <v>0.5</v>
      </c>
      <c r="AG11" s="174">
        <v>0.01</v>
      </c>
      <c r="AH11" s="174">
        <v>0.09</v>
      </c>
      <c r="AI11" s="174">
        <v>0.24</v>
      </c>
    </row>
    <row r="12" spans="1:35" x14ac:dyDescent="0.2">
      <c r="A12" s="175" t="s">
        <v>289</v>
      </c>
      <c r="B12" s="174" t="s">
        <v>170</v>
      </c>
      <c r="C12" s="179" t="e">
        <f>IF('Input Sheet'!$B$18="No",'Input Sheet'!$B$64*C11,(('Input Sheet'!$B$64*'Input Sheet'!B19/'Input Sheet'!$B$20)*'Input Sheet'!$B$21)*C11)</f>
        <v>#VALUE!</v>
      </c>
      <c r="D12" s="179" t="e">
        <f>IF('Input Sheet'!$B$18="No",'Input Sheet'!$B$64*D11,(('Input Sheet'!$B$64*'Input Sheet'!B19/'Input Sheet'!$B$20)*'Input Sheet'!$B$21)*D11)</f>
        <v>#VALUE!</v>
      </c>
      <c r="E12" s="179" t="e">
        <f>IF('Input Sheet'!$B$18="No",'Input Sheet'!$B$64*E11,(('Input Sheet'!$B$64*'Input Sheet'!B19/'Input Sheet'!$B$20)*'Input Sheet'!$B$21)*E11)</f>
        <v>#VALUE!</v>
      </c>
      <c r="F12" s="179" t="e">
        <f>IF('Input Sheet'!$B$18="No",'Input Sheet'!$B$64*F11,(('Input Sheet'!$B$64*'Input Sheet'!B19/'Input Sheet'!$B$20)*'Input Sheet'!$B$21)*F11)</f>
        <v>#VALUE!</v>
      </c>
      <c r="G12" s="179" t="e">
        <f>IF('Input Sheet'!$B$18="No",'Input Sheet'!$B$64*G11,(('Input Sheet'!$B$64*'Input Sheet'!B19/'Input Sheet'!$B$20)*'Input Sheet'!$B$21)*G11)</f>
        <v>#VALUE!</v>
      </c>
      <c r="H12" s="179" t="e">
        <f t="shared" si="9"/>
        <v>#VALUE!</v>
      </c>
      <c r="J12" s="181"/>
      <c r="K12" s="182"/>
      <c r="L12" s="183"/>
      <c r="M12" s="182"/>
      <c r="N12" s="175"/>
      <c r="O12" s="188">
        <f t="shared" si="2"/>
        <v>-4</v>
      </c>
      <c r="P12" s="189">
        <f>'Meteorological data'!F12</f>
        <v>0</v>
      </c>
      <c r="Q12" s="189">
        <f>'Meteorological data'!G12</f>
        <v>0</v>
      </c>
      <c r="R12" s="190">
        <v>0</v>
      </c>
      <c r="S12" s="191">
        <f>R12*((24-'Input Sheet'!$B$50)/24)</f>
        <v>0</v>
      </c>
      <c r="T12" s="191" t="e">
        <f t="shared" si="3"/>
        <v>#VALUE!</v>
      </c>
      <c r="U12" s="191" t="e">
        <f t="shared" si="4"/>
        <v>#VALUE!</v>
      </c>
      <c r="V12" s="191" t="e">
        <f>IF('Input Sheet'!$B$27="Space heating and Domestic Hot Water",(T12+U12),IF('Input Sheet'!$B$27="Space heating",T12,U12))</f>
        <v>#VALUE!</v>
      </c>
      <c r="W12" s="179">
        <f>'Input Sheet'!$B$39+((('Input Sheet'!$B$45-'Input Sheet'!$B$48)/2)*(('Input Sheet'!$B$39-O12)/('Input Sheet'!$B$39-'Input Sheet'!$B$38)))+((AVERAGE('Input Sheet'!$B$45,'Input Sheet'!$B$48)-'Input Sheet'!$B$39)*(('Input Sheet'!$B$39-O12)/('Input Sheet'!$B$39-'Input Sheet'!$B$38))^(1/'Input Sheet'!$B$46))</f>
        <v>35.675025545310092</v>
      </c>
      <c r="X12" s="179">
        <f t="shared" si="10"/>
        <v>5.1935848335735857</v>
      </c>
      <c r="Y12" s="191" t="e">
        <f t="shared" si="0"/>
        <v>#VALUE!</v>
      </c>
      <c r="Z12" s="191" t="e">
        <f t="shared" si="6"/>
        <v>#VALUE!</v>
      </c>
      <c r="AA12" s="191" t="e">
        <f t="shared" si="7"/>
        <v>#VALUE!</v>
      </c>
      <c r="AB12" s="191" t="e">
        <f t="shared" si="1"/>
        <v>#VALUE!</v>
      </c>
      <c r="AC12" s="192" t="e">
        <f t="shared" si="8"/>
        <v>#VALUE!</v>
      </c>
      <c r="AD12" s="193"/>
      <c r="AF12" s="174">
        <v>0.55000000000000004</v>
      </c>
      <c r="AG12" s="174">
        <v>0</v>
      </c>
      <c r="AH12" s="174">
        <v>0.06</v>
      </c>
      <c r="AI12" s="174">
        <v>0.19</v>
      </c>
    </row>
    <row r="13" spans="1:35" x14ac:dyDescent="0.2">
      <c r="A13" s="174" t="s">
        <v>46</v>
      </c>
      <c r="B13" s="174" t="s">
        <v>46</v>
      </c>
      <c r="J13" s="181"/>
      <c r="K13" s="193"/>
      <c r="L13" s="183"/>
      <c r="M13" s="193"/>
      <c r="O13" s="188">
        <f t="shared" si="2"/>
        <v>-3</v>
      </c>
      <c r="P13" s="189">
        <f>'Meteorological data'!F13</f>
        <v>1.3629108907339993E-3</v>
      </c>
      <c r="Q13" s="189">
        <f>'Meteorological data'!G13</f>
        <v>4.5662100456621003E-4</v>
      </c>
      <c r="R13" s="190">
        <v>4</v>
      </c>
      <c r="S13" s="191">
        <f>R13*((24-'Input Sheet'!$B$50)/24)</f>
        <v>4</v>
      </c>
      <c r="T13" s="191" t="e">
        <f t="shared" si="3"/>
        <v>#VALUE!</v>
      </c>
      <c r="U13" s="191" t="e">
        <f t="shared" si="4"/>
        <v>#VALUE!</v>
      </c>
      <c r="V13" s="191" t="e">
        <f>IF('Input Sheet'!$B$27="Space heating and Domestic Hot Water",(T13+U13),IF('Input Sheet'!$B$27="Space heating",T13,U13))</f>
        <v>#VALUE!</v>
      </c>
      <c r="W13" s="179">
        <f>'Input Sheet'!$B$39+((('Input Sheet'!$B$45-'Input Sheet'!$B$48)/2)*(('Input Sheet'!$B$39-O13)/('Input Sheet'!$B$39-'Input Sheet'!$B$38)))+((AVERAGE('Input Sheet'!$B$45,'Input Sheet'!$B$48)-'Input Sheet'!$B$39)*(('Input Sheet'!$B$39-O13)/('Input Sheet'!$B$39-'Input Sheet'!$B$38))^(1/'Input Sheet'!$B$46))</f>
        <v>35</v>
      </c>
      <c r="X13" s="179">
        <f t="shared" si="10"/>
        <v>4.9366334552181605</v>
      </c>
      <c r="Y13" s="191" t="e">
        <f>V13/X13</f>
        <v>#VALUE!</v>
      </c>
      <c r="Z13" s="191" t="e">
        <f>IF((Y13-S13)&lt;0,0,(Y13-S13))</f>
        <v>#VALUE!</v>
      </c>
      <c r="AA13" s="191" t="e">
        <f t="shared" si="7"/>
        <v>#VALUE!</v>
      </c>
      <c r="AB13" s="191" t="e">
        <f t="shared" si="1"/>
        <v>#VALUE!</v>
      </c>
      <c r="AC13" s="192" t="e">
        <f t="shared" si="8"/>
        <v>#VALUE!</v>
      </c>
      <c r="AD13" s="193"/>
      <c r="AF13" s="174">
        <v>0.6</v>
      </c>
      <c r="AG13" s="174">
        <v>0</v>
      </c>
      <c r="AH13" s="174">
        <v>0.03</v>
      </c>
      <c r="AI13" s="174">
        <v>0.15</v>
      </c>
    </row>
    <row r="14" spans="1:35" x14ac:dyDescent="0.2">
      <c r="A14" s="177" t="s">
        <v>106</v>
      </c>
      <c r="C14" s="179">
        <f>'Input Sheet'!B30</f>
        <v>-20</v>
      </c>
      <c r="D14" s="174">
        <v>-7</v>
      </c>
      <c r="E14" s="174">
        <v>2</v>
      </c>
      <c r="F14" s="174">
        <v>7</v>
      </c>
      <c r="G14" s="174">
        <v>12</v>
      </c>
      <c r="J14" s="181"/>
      <c r="K14" s="193"/>
      <c r="L14" s="183"/>
      <c r="M14" s="193"/>
      <c r="O14" s="188">
        <f t="shared" si="2"/>
        <v>-2</v>
      </c>
      <c r="P14" s="189">
        <f>'Meteorological data'!F14</f>
        <v>4.5191255850653657E-3</v>
      </c>
      <c r="Q14" s="189">
        <f>'Meteorological data'!G14</f>
        <v>1.5981735159817352E-3</v>
      </c>
      <c r="R14" s="190">
        <v>14</v>
      </c>
      <c r="S14" s="191">
        <f>R14*((24-'Input Sheet'!$B$50)/24)</f>
        <v>14</v>
      </c>
      <c r="T14" s="191" t="e">
        <f t="shared" si="3"/>
        <v>#VALUE!</v>
      </c>
      <c r="U14" s="191" t="e">
        <f>$U$1*Q14</f>
        <v>#VALUE!</v>
      </c>
      <c r="V14" s="191" t="e">
        <f>IF('Input Sheet'!$B$27="Space heating and Domestic Hot Water",(T14+U14),IF('Input Sheet'!$B$27="Space heating",T14,U14))</f>
        <v>#VALUE!</v>
      </c>
      <c r="W14" s="179">
        <f>'Input Sheet'!$B$39+((('Input Sheet'!$B$45-'Input Sheet'!$B$48)/2)*(('Input Sheet'!$B$39-O14)/('Input Sheet'!$B$39-'Input Sheet'!$B$38)))+((AVERAGE('Input Sheet'!$B$45,'Input Sheet'!$B$48)-'Input Sheet'!$B$39)*(('Input Sheet'!$B$39-O14)/('Input Sheet'!$B$39-'Input Sheet'!$B$38))^(1/'Input Sheet'!$B$46))</f>
        <v>34.320582266514194</v>
      </c>
      <c r="X14" s="179">
        <f t="shared" si="10"/>
        <v>4.6796820768627363</v>
      </c>
      <c r="Y14" s="191" t="e">
        <f>V14/X14</f>
        <v>#VALUE!</v>
      </c>
      <c r="Z14" s="191" t="e">
        <f>IF((Y14-S14)&lt;0,0,(Y14-S14))</f>
        <v>#VALUE!</v>
      </c>
      <c r="AA14" s="191" t="e">
        <f t="shared" si="7"/>
        <v>#VALUE!</v>
      </c>
      <c r="AB14" s="191" t="e">
        <f t="shared" si="1"/>
        <v>#VALUE!</v>
      </c>
      <c r="AC14" s="192" t="e">
        <f t="shared" si="8"/>
        <v>#VALUE!</v>
      </c>
      <c r="AD14" s="193"/>
      <c r="AF14" s="174">
        <v>0.65</v>
      </c>
      <c r="AG14" s="174">
        <v>0</v>
      </c>
      <c r="AH14" s="174">
        <v>0.02</v>
      </c>
      <c r="AI14" s="174">
        <v>0.11</v>
      </c>
    </row>
    <row r="15" spans="1:35" ht="15.75" x14ac:dyDescent="0.25">
      <c r="A15" s="175" t="s">
        <v>290</v>
      </c>
      <c r="B15" s="175" t="s">
        <v>296</v>
      </c>
      <c r="C15" s="174">
        <f>IF('Input Sheet'!C75="Yes",IF('Input Sheet'!$B$26="Variable Outlet",35,35),0)</f>
        <v>35</v>
      </c>
      <c r="D15" s="174">
        <f>IF('Input Sheet'!C75="Yes",IF('Input Sheet'!$B$26="Variable Outlet",34,35),0)</f>
        <v>34</v>
      </c>
      <c r="E15" s="174">
        <f>IF('Input Sheet'!C75="Yes",IF('Input Sheet'!$B$26="Variable Outlet",30,35),0)</f>
        <v>30</v>
      </c>
      <c r="F15" s="174">
        <f>IF('Input Sheet'!C75="Yes",IF('Input Sheet'!$B$26="Variable Outlet",27,35),0)</f>
        <v>27</v>
      </c>
      <c r="G15" s="174">
        <f>IF('Input Sheet'!C75="Yes",IF('Input Sheet'!$B$26="Variable Outlet",24,35),0)</f>
        <v>24</v>
      </c>
      <c r="I15" s="203"/>
      <c r="J15" s="181"/>
      <c r="K15" s="182"/>
      <c r="L15" s="183"/>
      <c r="M15" s="182"/>
      <c r="O15" s="188">
        <f t="shared" si="2"/>
        <v>-1</v>
      </c>
      <c r="P15" s="189">
        <f>'Meteorological data'!F15</f>
        <v>1.3413912450908309E-2</v>
      </c>
      <c r="Q15" s="189">
        <f>'Meteorological data'!G15</f>
        <v>5.0228310502283104E-3</v>
      </c>
      <c r="R15" s="190">
        <v>44</v>
      </c>
      <c r="S15" s="191">
        <f>R15*((24-'Input Sheet'!$B$50)/24)</f>
        <v>44</v>
      </c>
      <c r="T15" s="191" t="e">
        <f t="shared" si="3"/>
        <v>#VALUE!</v>
      </c>
      <c r="U15" s="191" t="e">
        <f t="shared" si="4"/>
        <v>#VALUE!</v>
      </c>
      <c r="V15" s="191" t="e">
        <f>IF('Input Sheet'!$B$27="Space heating and Domestic Hot Water",(T15+U15),IF('Input Sheet'!$B$27="Space heating",T15,U15))</f>
        <v>#VALUE!</v>
      </c>
      <c r="W15" s="179">
        <f>'Input Sheet'!$B$39+((('Input Sheet'!$B$45-'Input Sheet'!$B$48)/2)*(('Input Sheet'!$B$39-O15)/('Input Sheet'!$B$39-'Input Sheet'!$B$38)))+((AVERAGE('Input Sheet'!$B$45,'Input Sheet'!$B$48)-'Input Sheet'!$B$39)*(('Input Sheet'!$B$39-O15)/('Input Sheet'!$B$39-'Input Sheet'!$B$38))^(1/'Input Sheet'!$B$46))</f>
        <v>33.636517923538946</v>
      </c>
      <c r="X15" s="179">
        <f t="shared" si="10"/>
        <v>4.422730698507312</v>
      </c>
      <c r="Y15" s="191" t="e">
        <f t="shared" si="0"/>
        <v>#VALUE!</v>
      </c>
      <c r="Z15" s="191" t="e">
        <f>IF((Y15-S15)&lt;0,0,(Y15-S15))</f>
        <v>#VALUE!</v>
      </c>
      <c r="AA15" s="191" t="e">
        <f t="shared" si="7"/>
        <v>#VALUE!</v>
      </c>
      <c r="AB15" s="191" t="e">
        <f t="shared" si="1"/>
        <v>#VALUE!</v>
      </c>
      <c r="AC15" s="192" t="e">
        <f t="shared" si="8"/>
        <v>#VALUE!</v>
      </c>
      <c r="AD15" s="193"/>
      <c r="AF15" s="174">
        <v>0.7</v>
      </c>
      <c r="AG15" s="174">
        <v>0</v>
      </c>
      <c r="AH15" s="174">
        <v>0.01</v>
      </c>
      <c r="AI15" s="174">
        <v>0.09</v>
      </c>
    </row>
    <row r="16" spans="1:35" ht="15.75" x14ac:dyDescent="0.25">
      <c r="A16" s="175" t="s">
        <v>291</v>
      </c>
      <c r="B16" s="175" t="s">
        <v>296</v>
      </c>
      <c r="C16" s="174">
        <f>IF('Input Sheet'!C76="Yes",IF('Input Sheet'!$B$26="Variable Outlet",45,45),0)</f>
        <v>0</v>
      </c>
      <c r="D16" s="174">
        <f>IF('Input Sheet'!C76="Yes",IF('Input Sheet'!$B$26="Variable Outlet",43,45),0)</f>
        <v>0</v>
      </c>
      <c r="E16" s="174">
        <f>IF('Input Sheet'!C76="Yes",IF('Input Sheet'!$B$26="Variable Outlet",37,45),0)</f>
        <v>0</v>
      </c>
      <c r="F16" s="174">
        <f>IF('Input Sheet'!C76="Yes",IF('Input Sheet'!$B$26="Variable Outlet",33,45),0)</f>
        <v>0</v>
      </c>
      <c r="G16" s="174">
        <f>IF('Input Sheet'!C76="Yes",IF('Input Sheet'!$B$26="Variable Outlet",28,45),0)</f>
        <v>0</v>
      </c>
      <c r="I16" s="203"/>
      <c r="J16" s="181"/>
      <c r="K16" s="193"/>
      <c r="L16" s="183"/>
      <c r="M16" s="193"/>
      <c r="O16" s="188">
        <f t="shared" si="2"/>
        <v>0</v>
      </c>
      <c r="P16" s="189">
        <f>'Meteorological data'!F16</f>
        <v>3.2136004160464825E-2</v>
      </c>
      <c r="Q16" s="189">
        <f>'Meteorological data'!G16</f>
        <v>1.2785388127853882E-2</v>
      </c>
      <c r="R16" s="190">
        <v>112</v>
      </c>
      <c r="S16" s="191">
        <f>R16*((24-'Input Sheet'!$B$50)/24)</f>
        <v>112</v>
      </c>
      <c r="T16" s="191" t="e">
        <f t="shared" si="3"/>
        <v>#VALUE!</v>
      </c>
      <c r="U16" s="191" t="e">
        <f>$U$1*Q16</f>
        <v>#VALUE!</v>
      </c>
      <c r="V16" s="191" t="e">
        <f>IF('Input Sheet'!$B$27="Space heating and Domestic Hot Water",(T16+U16),IF('Input Sheet'!$B$27="Space heating",T16,U16))</f>
        <v>#VALUE!</v>
      </c>
      <c r="W16" s="179">
        <f>'Input Sheet'!$B$39+((('Input Sheet'!$B$45-'Input Sheet'!$B$48)/2)*(('Input Sheet'!$B$39-O16)/('Input Sheet'!$B$39-'Input Sheet'!$B$38)))+((AVERAGE('Input Sheet'!$B$45,'Input Sheet'!$B$48)-'Input Sheet'!$B$39)*(('Input Sheet'!$B$39-O16)/('Input Sheet'!$B$39-'Input Sheet'!$B$38))^(1/'Input Sheet'!$B$46))</f>
        <v>32.947523738035805</v>
      </c>
      <c r="X16" s="179">
        <f t="shared" si="10"/>
        <v>4.1657793201518869</v>
      </c>
      <c r="Y16" s="191" t="e">
        <f>V16/X16</f>
        <v>#VALUE!</v>
      </c>
      <c r="Z16" s="191" t="e">
        <f>IF((Y16-S16)&lt;0,0,(Y16-S16))</f>
        <v>#VALUE!</v>
      </c>
      <c r="AA16" s="191" t="e">
        <f t="shared" si="7"/>
        <v>#VALUE!</v>
      </c>
      <c r="AB16" s="191" t="e">
        <f t="shared" si="1"/>
        <v>#VALUE!</v>
      </c>
      <c r="AC16" s="192" t="e">
        <f t="shared" si="8"/>
        <v>#VALUE!</v>
      </c>
      <c r="AD16" s="193"/>
      <c r="AF16" s="174">
        <v>0.75</v>
      </c>
      <c r="AG16" s="174">
        <v>0</v>
      </c>
      <c r="AH16" s="174">
        <v>0</v>
      </c>
      <c r="AI16" s="174">
        <v>0.05</v>
      </c>
    </row>
    <row r="17" spans="1:35" ht="27.75" customHeight="1" x14ac:dyDescent="0.25">
      <c r="A17" s="175" t="s">
        <v>292</v>
      </c>
      <c r="B17" s="175" t="s">
        <v>296</v>
      </c>
      <c r="C17" s="174">
        <f>IF('Input Sheet'!$B$26="Variable Outlet",55,55)</f>
        <v>55</v>
      </c>
      <c r="D17" s="174">
        <f>IF('Input Sheet'!$B$26="Variable Outlet",52,55)</f>
        <v>52</v>
      </c>
      <c r="E17" s="174">
        <f>IF('Input Sheet'!$B$26="Variable Outlet",42,55)</f>
        <v>42</v>
      </c>
      <c r="F17" s="174">
        <f>IF('Input Sheet'!$B$26="Variable Outlet",36,55)</f>
        <v>36</v>
      </c>
      <c r="G17" s="174">
        <f>IF('Input Sheet'!$B$26="Variable Outlet",30,55)</f>
        <v>30</v>
      </c>
      <c r="I17" s="203"/>
      <c r="J17" s="181"/>
      <c r="K17" s="193"/>
      <c r="L17" s="183"/>
      <c r="M17" s="193"/>
      <c r="O17" s="188">
        <f t="shared" si="2"/>
        <v>1</v>
      </c>
      <c r="P17" s="189">
        <f>'Meteorological data'!F17</f>
        <v>3.927335329878235E-2</v>
      </c>
      <c r="Q17" s="189">
        <f>'Meteorological data'!G17</f>
        <v>1.6666666666666666E-2</v>
      </c>
      <c r="R17" s="190">
        <v>146</v>
      </c>
      <c r="S17" s="191">
        <f>R17*((24-'Input Sheet'!$B$50)/24)</f>
        <v>146</v>
      </c>
      <c r="T17" s="191" t="e">
        <f t="shared" si="3"/>
        <v>#VALUE!</v>
      </c>
      <c r="U17" s="191" t="e">
        <f t="shared" si="4"/>
        <v>#VALUE!</v>
      </c>
      <c r="V17" s="191" t="e">
        <f>IF('Input Sheet'!$B$27="Space heating and Domestic Hot Water",(T17+U17),IF('Input Sheet'!$B$27="Space heating",T17,U17))</f>
        <v>#VALUE!</v>
      </c>
      <c r="W17" s="179">
        <f>'Input Sheet'!$B$39+((('Input Sheet'!$B$45-'Input Sheet'!$B$48)/2)*(('Input Sheet'!$B$39-O17)/('Input Sheet'!$B$39-'Input Sheet'!$B$38)))+((AVERAGE('Input Sheet'!$B$45,'Input Sheet'!$B$48)-'Input Sheet'!$B$39)*(('Input Sheet'!$B$39-O17)/('Input Sheet'!$B$39-'Input Sheet'!$B$38))^(1/'Input Sheet'!$B$46))</f>
        <v>32.253282631270025</v>
      </c>
      <c r="X17" s="179">
        <f t="shared" si="10"/>
        <v>3.9088279417964622</v>
      </c>
      <c r="Y17" s="191" t="e">
        <f t="shared" ref="Y17:Y31" si="11">V17/X17</f>
        <v>#VALUE!</v>
      </c>
      <c r="Z17" s="191" t="e">
        <f>IF((Y17-S17)&lt;0,0,(Y17-S17))</f>
        <v>#VALUE!</v>
      </c>
      <c r="AA17" s="191" t="e">
        <f t="shared" si="7"/>
        <v>#VALUE!</v>
      </c>
      <c r="AB17" s="191" t="e">
        <f t="shared" si="1"/>
        <v>#VALUE!</v>
      </c>
      <c r="AC17" s="192" t="e">
        <f t="shared" si="8"/>
        <v>#VALUE!</v>
      </c>
      <c r="AD17" s="193"/>
      <c r="AF17" s="174">
        <v>0.8</v>
      </c>
      <c r="AG17" s="174">
        <v>0</v>
      </c>
      <c r="AH17" s="174">
        <v>0</v>
      </c>
      <c r="AI17" s="174">
        <v>0.05</v>
      </c>
    </row>
    <row r="18" spans="1:35" ht="15.75" x14ac:dyDescent="0.25">
      <c r="A18" s="175" t="s">
        <v>293</v>
      </c>
      <c r="B18" s="175" t="s">
        <v>296</v>
      </c>
      <c r="C18" s="174">
        <f>IF('Input Sheet'!C77="Yes",65,0)</f>
        <v>0</v>
      </c>
      <c r="D18" s="174">
        <f>IF('Input Sheet'!C77="Yes",IF('Input Sheet'!$B$26="Variable Outlet",61,65),0)</f>
        <v>0</v>
      </c>
      <c r="E18" s="174">
        <f>IF('Input Sheet'!C77="Yes",IF('Input Sheet'!$B$26="Variable Outlet",49,65),0)</f>
        <v>0</v>
      </c>
      <c r="F18" s="174">
        <f>IF('Input Sheet'!C77="Yes",IF('Input Sheet'!$B$26="Variable Outlet",41,65),0)</f>
        <v>0</v>
      </c>
      <c r="G18" s="174">
        <f>IF('Input Sheet'!C77="Yes",IF('Input Sheet'!$B$26="Variable Outlet",32,65),0)</f>
        <v>0</v>
      </c>
      <c r="I18" s="204"/>
      <c r="J18" s="181"/>
      <c r="K18" s="182"/>
      <c r="L18" s="183"/>
      <c r="M18" s="182"/>
      <c r="O18" s="197">
        <f t="shared" si="2"/>
        <v>2</v>
      </c>
      <c r="P18" s="198">
        <f>'Meteorological data'!F18</f>
        <v>5.5735882215806179E-2</v>
      </c>
      <c r="Q18" s="198">
        <f>'Meteorological data'!G18</f>
        <v>2.5342465753424658E-2</v>
      </c>
      <c r="R18" s="199">
        <v>222</v>
      </c>
      <c r="S18" s="200">
        <f>R18*((24-'Input Sheet'!$B$50)/24)</f>
        <v>222</v>
      </c>
      <c r="T18" s="200" t="e">
        <f t="shared" si="3"/>
        <v>#VALUE!</v>
      </c>
      <c r="U18" s="200" t="e">
        <f t="shared" si="4"/>
        <v>#VALUE!</v>
      </c>
      <c r="V18" s="200" t="e">
        <f>IF('Input Sheet'!$B$27="Space heating and Domestic Hot Water",(T18+U18),IF('Input Sheet'!$B$27="Space heating",T18,U18))</f>
        <v>#VALUE!</v>
      </c>
      <c r="W18" s="201">
        <f>'Input Sheet'!$B$39+((('Input Sheet'!$B$45-'Input Sheet'!$B$48)/2)*(('Input Sheet'!$B$39-O18)/('Input Sheet'!$B$39-'Input Sheet'!$B$38)))+((AVERAGE('Input Sheet'!$B$45,'Input Sheet'!$B$48)-'Input Sheet'!$B$39)*(('Input Sheet'!$B$39-O18)/('Input Sheet'!$B$39-'Input Sheet'!$B$38))^(1/'Input Sheet'!$B$46))</f>
        <v>31.553437419339634</v>
      </c>
      <c r="X18" s="201">
        <f>E41</f>
        <v>3.6518765634410375</v>
      </c>
      <c r="Y18" s="200" t="e">
        <f>V18/X18</f>
        <v>#VALUE!</v>
      </c>
      <c r="Z18" s="200" t="e">
        <f t="shared" si="6"/>
        <v>#VALUE!</v>
      </c>
      <c r="AA18" s="200" t="e">
        <f t="shared" si="7"/>
        <v>#VALUE!</v>
      </c>
      <c r="AB18" s="191" t="e">
        <f t="shared" si="1"/>
        <v>#VALUE!</v>
      </c>
      <c r="AC18" s="192" t="e">
        <f t="shared" si="8"/>
        <v>#VALUE!</v>
      </c>
      <c r="AD18" s="193"/>
      <c r="AF18" s="174">
        <v>0.85</v>
      </c>
      <c r="AG18" s="174">
        <v>0</v>
      </c>
      <c r="AH18" s="174">
        <v>0</v>
      </c>
      <c r="AI18" s="174">
        <v>0.03</v>
      </c>
    </row>
    <row r="19" spans="1:35" ht="15.75" x14ac:dyDescent="0.25">
      <c r="A19" s="175" t="s">
        <v>301</v>
      </c>
      <c r="B19" s="175" t="s">
        <v>296</v>
      </c>
      <c r="C19" s="179">
        <f>IF('Input Sheet'!$C$75="Yes",'Input Sheet'!G83,0)</f>
        <v>2.62</v>
      </c>
      <c r="D19" s="179">
        <f>IF('Input Sheet'!$C$75="Yes",'Input Sheet'!C83,0)</f>
        <v>3.07</v>
      </c>
      <c r="E19" s="179">
        <f>IF('Input Sheet'!$C$75="Yes",'Input Sheet'!D83,0)</f>
        <v>4.3499999999999996</v>
      </c>
      <c r="F19" s="179">
        <f>IF('Input Sheet'!$C$75="Yes",'Input Sheet'!E83,0)</f>
        <v>5.7</v>
      </c>
      <c r="G19" s="179">
        <f>IF('Input Sheet'!$C$75="Yes",'Input Sheet'!F83,0)</f>
        <v>7.17</v>
      </c>
      <c r="I19" s="203" t="s">
        <v>305</v>
      </c>
      <c r="J19" s="181"/>
      <c r="K19" s="182"/>
      <c r="L19" s="183"/>
      <c r="M19" s="182"/>
      <c r="O19" s="188">
        <f t="shared" si="2"/>
        <v>3</v>
      </c>
      <c r="P19" s="189">
        <f>'Meteorological data'!F19</f>
        <v>7.5300826713053465E-2</v>
      </c>
      <c r="Q19" s="189">
        <f>'Meteorological data'!G19</f>
        <v>3.6872146118721458E-2</v>
      </c>
      <c r="R19" s="190">
        <v>323</v>
      </c>
      <c r="S19" s="191">
        <f>R19*((24-'Input Sheet'!$B$50)/24)</f>
        <v>323</v>
      </c>
      <c r="T19" s="191" t="e">
        <f t="shared" si="3"/>
        <v>#VALUE!</v>
      </c>
      <c r="U19" s="191" t="e">
        <f t="shared" si="4"/>
        <v>#VALUE!</v>
      </c>
      <c r="V19" s="191" t="e">
        <f>IF('Input Sheet'!$B$27="Space heating and Domestic Hot Water",(T19+U19),IF('Input Sheet'!$B$27="Space heating",T19,U19))</f>
        <v>#VALUE!</v>
      </c>
      <c r="W19" s="179">
        <f>'Input Sheet'!$B$39+((('Input Sheet'!$B$45-'Input Sheet'!$B$48)/2)*(('Input Sheet'!$B$39-O19)/('Input Sheet'!$B$39-'Input Sheet'!$B$38)))+((AVERAGE('Input Sheet'!$B$45,'Input Sheet'!$B$48)-'Input Sheet'!$B$39)*(('Input Sheet'!$B$39-O19)/('Input Sheet'!$B$39-'Input Sheet'!$B$38))^(1/'Input Sheet'!$B$46))</f>
        <v>30.847582935073792</v>
      </c>
      <c r="X19" s="179">
        <f>(($X$23-$X$18)/($O$23-$O$18))*(O19-$O$18)+$X$18</f>
        <v>3.7888390419935392</v>
      </c>
      <c r="Y19" s="191" t="e">
        <f>V19/X19</f>
        <v>#VALUE!</v>
      </c>
      <c r="Z19" s="191" t="e">
        <f>IF((Y19-S19)&lt;0,0,(Y19-S19))</f>
        <v>#VALUE!</v>
      </c>
      <c r="AA19" s="191" t="e">
        <f t="shared" si="7"/>
        <v>#VALUE!</v>
      </c>
      <c r="AB19" s="191" t="e">
        <f t="shared" si="1"/>
        <v>#VALUE!</v>
      </c>
      <c r="AC19" s="192" t="e">
        <f t="shared" si="8"/>
        <v>#VALUE!</v>
      </c>
      <c r="AD19" s="193"/>
      <c r="AF19" s="174">
        <v>0.9</v>
      </c>
      <c r="AG19" s="174">
        <v>0</v>
      </c>
      <c r="AH19" s="174">
        <v>0</v>
      </c>
      <c r="AI19" s="174">
        <v>0.02</v>
      </c>
    </row>
    <row r="20" spans="1:35" ht="15.75" x14ac:dyDescent="0.25">
      <c r="A20" s="175" t="s">
        <v>302</v>
      </c>
      <c r="B20" s="175" t="s">
        <v>296</v>
      </c>
      <c r="C20" s="179">
        <f>IF('Input Sheet'!C76="Yes",'Input Sheet'!G87,0)</f>
        <v>0</v>
      </c>
      <c r="D20" s="179">
        <f>IF('Input Sheet'!C76="Yes",'Input Sheet'!C87,0)</f>
        <v>0</v>
      </c>
      <c r="E20" s="179">
        <f>IF('Input Sheet'!C76="Yes",'Input Sheet'!D87,0)</f>
        <v>0</v>
      </c>
      <c r="F20" s="179">
        <f>IF('Input Sheet'!C76="Yes",'Input Sheet'!E87,0)</f>
        <v>0</v>
      </c>
      <c r="G20" s="179">
        <f>IF('Input Sheet'!C76="Yes",'Input Sheet'!F87,0)</f>
        <v>0</v>
      </c>
      <c r="I20" s="203" t="s">
        <v>306</v>
      </c>
      <c r="J20" s="181"/>
      <c r="K20" s="193"/>
      <c r="L20" s="183"/>
      <c r="M20" s="193"/>
      <c r="O20" s="188">
        <f t="shared" si="2"/>
        <v>4</v>
      </c>
      <c r="P20" s="189">
        <f>'Meteorological data'!F20</f>
        <v>8.6078582572673631E-2</v>
      </c>
      <c r="Q20" s="189">
        <f>'Meteorological data'!G20</f>
        <v>4.5662100456621002E-2</v>
      </c>
      <c r="R20" s="190">
        <v>400</v>
      </c>
      <c r="S20" s="191">
        <f>R20*((24-'Input Sheet'!$B$50)/24)</f>
        <v>400</v>
      </c>
      <c r="T20" s="191" t="e">
        <f t="shared" si="3"/>
        <v>#VALUE!</v>
      </c>
      <c r="U20" s="191" t="e">
        <f t="shared" si="4"/>
        <v>#VALUE!</v>
      </c>
      <c r="V20" s="191" t="e">
        <f>IF('Input Sheet'!$B$27="Space heating and Domestic Hot Water",(T20+U20),IF('Input Sheet'!$B$27="Space heating",T20,U20))</f>
        <v>#VALUE!</v>
      </c>
      <c r="W20" s="179">
        <f>'Input Sheet'!$B$39+((('Input Sheet'!$B$45-'Input Sheet'!$B$48)/2)*(('Input Sheet'!$B$39-O20)/('Input Sheet'!$B$39-'Input Sheet'!$B$38)))+((AVERAGE('Input Sheet'!$B$45,'Input Sheet'!$B$48)-'Input Sheet'!$B$39)*(('Input Sheet'!$B$39-O20)/('Input Sheet'!$B$39-'Input Sheet'!$B$38))^(1/'Input Sheet'!$B$46))</f>
        <v>30.135255977574548</v>
      </c>
      <c r="X20" s="179">
        <f t="shared" ref="X20:X22" si="12">(($X$23-$X$18)/($O$23-$O$18))*(O20-$O$18)+$X$18</f>
        <v>3.9258015205460408</v>
      </c>
      <c r="Y20" s="191" t="e">
        <f t="shared" si="11"/>
        <v>#VALUE!</v>
      </c>
      <c r="Z20" s="191" t="e">
        <f t="shared" si="6"/>
        <v>#VALUE!</v>
      </c>
      <c r="AA20" s="191" t="e">
        <f t="shared" si="7"/>
        <v>#VALUE!</v>
      </c>
      <c r="AB20" s="191" t="e">
        <f t="shared" si="1"/>
        <v>#VALUE!</v>
      </c>
      <c r="AC20" s="192" t="e">
        <f t="shared" si="8"/>
        <v>#VALUE!</v>
      </c>
      <c r="AD20" s="193"/>
      <c r="AF20" s="174">
        <v>0.95</v>
      </c>
      <c r="AG20" s="174">
        <v>0</v>
      </c>
      <c r="AH20" s="174">
        <v>0</v>
      </c>
      <c r="AI20" s="174">
        <v>0.01</v>
      </c>
    </row>
    <row r="21" spans="1:35" ht="15.75" x14ac:dyDescent="0.25">
      <c r="A21" s="175" t="s">
        <v>303</v>
      </c>
      <c r="B21" s="175" t="s">
        <v>296</v>
      </c>
      <c r="C21" s="179">
        <f>'Input Sheet'!G91</f>
        <v>1.99</v>
      </c>
      <c r="D21" s="179">
        <f>'Input Sheet'!C91</f>
        <v>2.15</v>
      </c>
      <c r="E21" s="179">
        <f>'Input Sheet'!D91</f>
        <v>3.1</v>
      </c>
      <c r="F21" s="179">
        <f>'Input Sheet'!E91</f>
        <v>4.26</v>
      </c>
      <c r="G21" s="179">
        <f>'Input Sheet'!F91</f>
        <v>5.72</v>
      </c>
      <c r="I21" s="203" t="s">
        <v>307</v>
      </c>
      <c r="J21" s="181"/>
      <c r="K21" s="193"/>
      <c r="L21" s="183"/>
      <c r="M21" s="193"/>
      <c r="O21" s="188">
        <f t="shared" si="2"/>
        <v>5</v>
      </c>
      <c r="P21" s="189">
        <f>'Meteorological data'!F21</f>
        <v>8.7979484604486846E-2</v>
      </c>
      <c r="Q21" s="189">
        <f>'Meteorological data'!G21</f>
        <v>5.0913242009132421E-2</v>
      </c>
      <c r="R21" s="190">
        <v>446</v>
      </c>
      <c r="S21" s="191">
        <f>R21*((24-'Input Sheet'!$B$50)/24)</f>
        <v>446</v>
      </c>
      <c r="T21" s="191" t="e">
        <f t="shared" si="3"/>
        <v>#VALUE!</v>
      </c>
      <c r="U21" s="191" t="e">
        <f t="shared" si="4"/>
        <v>#VALUE!</v>
      </c>
      <c r="V21" s="191" t="e">
        <f>IF('Input Sheet'!$B$27="Space heating and Domestic Hot Water",(T21+U21),IF('Input Sheet'!$B$27="Space heating",T21,U21))</f>
        <v>#VALUE!</v>
      </c>
      <c r="W21" s="179">
        <f>'Input Sheet'!$B$39+((('Input Sheet'!$B$45-'Input Sheet'!$B$48)/2)*(('Input Sheet'!$B$39-O21)/('Input Sheet'!$B$39-'Input Sheet'!$B$38)))+((AVERAGE('Input Sheet'!$B$45,'Input Sheet'!$B$48)-'Input Sheet'!$B$39)*(('Input Sheet'!$B$39-O21)/('Input Sheet'!$B$39-'Input Sheet'!$B$38))^(1/'Input Sheet'!$B$46))</f>
        <v>29.415922293369377</v>
      </c>
      <c r="X21" s="179">
        <f t="shared" si="12"/>
        <v>4.0627639990985429</v>
      </c>
      <c r="Y21" s="191" t="e">
        <f t="shared" si="11"/>
        <v>#VALUE!</v>
      </c>
      <c r="Z21" s="191" t="e">
        <f t="shared" si="6"/>
        <v>#VALUE!</v>
      </c>
      <c r="AA21" s="191" t="e">
        <f t="shared" si="7"/>
        <v>#VALUE!</v>
      </c>
      <c r="AB21" s="191" t="e">
        <f t="shared" si="1"/>
        <v>#VALUE!</v>
      </c>
      <c r="AC21" s="192" t="e">
        <f t="shared" si="8"/>
        <v>#VALUE!</v>
      </c>
      <c r="AD21" s="193"/>
      <c r="AF21" s="174">
        <v>1</v>
      </c>
      <c r="AG21" s="174">
        <v>0</v>
      </c>
      <c r="AH21" s="174">
        <v>0</v>
      </c>
      <c r="AI21" s="174">
        <v>0.01</v>
      </c>
    </row>
    <row r="22" spans="1:35" ht="15.75" x14ac:dyDescent="0.25">
      <c r="A22" s="175" t="s">
        <v>304</v>
      </c>
      <c r="B22" s="175" t="s">
        <v>296</v>
      </c>
      <c r="C22" s="179">
        <f>IF('Input Sheet'!C77="Yes",'Input Sheet'!G95,0)</f>
        <v>0</v>
      </c>
      <c r="D22" s="179">
        <f>IF('Input Sheet'!$C$77="Yes",'Input Sheet'!C95,0)</f>
        <v>0</v>
      </c>
      <c r="E22" s="179">
        <f>IF('Input Sheet'!$C$77="Yes",'Input Sheet'!D95,0)</f>
        <v>0</v>
      </c>
      <c r="F22" s="179">
        <f>IF('Input Sheet'!$C$77="Yes",'Input Sheet'!E95,0)</f>
        <v>0</v>
      </c>
      <c r="G22" s="179">
        <f>IF('Input Sheet'!$C$77="Yes",'Input Sheet'!F95,0)</f>
        <v>0</v>
      </c>
      <c r="I22" s="203" t="s">
        <v>308</v>
      </c>
      <c r="J22" s="181"/>
      <c r="K22" s="193"/>
      <c r="L22" s="183"/>
      <c r="M22" s="193"/>
      <c r="O22" s="188">
        <f t="shared" si="2"/>
        <v>6</v>
      </c>
      <c r="P22" s="189">
        <f>'Meteorological data'!F22</f>
        <v>9.7735057296056527E-2</v>
      </c>
      <c r="Q22" s="189">
        <f>'Meteorological data'!G22</f>
        <v>6.2214611872146115E-2</v>
      </c>
      <c r="R22" s="190">
        <v>545</v>
      </c>
      <c r="S22" s="191">
        <f>R22*((24-'Input Sheet'!$B$50)/24)</f>
        <v>545</v>
      </c>
      <c r="T22" s="191" t="e">
        <f t="shared" si="3"/>
        <v>#VALUE!</v>
      </c>
      <c r="U22" s="191" t="e">
        <f t="shared" si="4"/>
        <v>#VALUE!</v>
      </c>
      <c r="V22" s="191" t="e">
        <f>IF('Input Sheet'!$B$27="Space heating and Domestic Hot Water",(T22+U22),IF('Input Sheet'!$B$27="Space heating",T22,U22))</f>
        <v>#VALUE!</v>
      </c>
      <c r="W22" s="179">
        <f>'Input Sheet'!$B$39+((('Input Sheet'!$B$45-'Input Sheet'!$B$48)/2)*(('Input Sheet'!$B$39-O22)/('Input Sheet'!$B$39-'Input Sheet'!$B$38)))+((AVERAGE('Input Sheet'!$B$45,'Input Sheet'!$B$48)-'Input Sheet'!$B$39)*(('Input Sheet'!$B$39-O22)/('Input Sheet'!$B$39-'Input Sheet'!$B$38))^(1/'Input Sheet'!$B$46))</f>
        <v>28.688959418079641</v>
      </c>
      <c r="X22" s="179">
        <f t="shared" si="12"/>
        <v>4.1997264776510441</v>
      </c>
      <c r="Y22" s="191" t="e">
        <f t="shared" si="11"/>
        <v>#VALUE!</v>
      </c>
      <c r="Z22" s="191" t="e">
        <f t="shared" si="6"/>
        <v>#VALUE!</v>
      </c>
      <c r="AA22" s="191" t="e">
        <f t="shared" si="7"/>
        <v>#VALUE!</v>
      </c>
      <c r="AB22" s="191" t="e">
        <f t="shared" si="1"/>
        <v>#VALUE!</v>
      </c>
      <c r="AC22" s="192" t="e">
        <f t="shared" si="8"/>
        <v>#VALUE!</v>
      </c>
      <c r="AD22" s="193"/>
      <c r="AF22" s="174">
        <v>1.05</v>
      </c>
      <c r="AG22" s="174">
        <v>0</v>
      </c>
      <c r="AH22" s="174">
        <v>0</v>
      </c>
      <c r="AI22" s="174">
        <v>0</v>
      </c>
    </row>
    <row r="23" spans="1:35" ht="15.75" x14ac:dyDescent="0.25">
      <c r="A23" s="175" t="s">
        <v>297</v>
      </c>
      <c r="B23" s="175" t="s">
        <v>296</v>
      </c>
      <c r="C23" s="179">
        <f>IF('Input Sheet'!C75="Yes",'Input Sheet'!G82,0)</f>
        <v>5.41</v>
      </c>
      <c r="D23" s="179">
        <f>IF('Input Sheet'!$C$75="Yes",'Input Sheet'!C82,0)</f>
        <v>6.04</v>
      </c>
      <c r="E23" s="179">
        <f>IF('Input Sheet'!$C$75="Yes",'Input Sheet'!D82,0)</f>
        <v>3.67</v>
      </c>
      <c r="F23" s="179">
        <f>IF('Input Sheet'!$C$75="Yes",'Input Sheet'!E82,0)</f>
        <v>4.3600000000000003</v>
      </c>
      <c r="G23" s="179">
        <f>IF('Input Sheet'!$C$75="Yes",'Input Sheet'!F82,0)</f>
        <v>4.17</v>
      </c>
      <c r="I23" s="203" t="s">
        <v>309</v>
      </c>
      <c r="J23" s="181"/>
      <c r="K23" s="182"/>
      <c r="L23" s="183"/>
      <c r="M23" s="182"/>
      <c r="O23" s="197">
        <f t="shared" si="2"/>
        <v>7</v>
      </c>
      <c r="P23" s="198">
        <f>'Meteorological data'!F23</f>
        <v>9.7322597421229132E-2</v>
      </c>
      <c r="Q23" s="198">
        <f>'Meteorological data'!G23</f>
        <v>6.8835616438356159E-2</v>
      </c>
      <c r="R23" s="199">
        <v>603</v>
      </c>
      <c r="S23" s="200">
        <f>R23*((24-'Input Sheet'!$B$50)/24)</f>
        <v>603</v>
      </c>
      <c r="T23" s="200" t="e">
        <f t="shared" si="3"/>
        <v>#VALUE!</v>
      </c>
      <c r="U23" s="200" t="e">
        <f t="shared" si="4"/>
        <v>#VALUE!</v>
      </c>
      <c r="V23" s="200" t="e">
        <f>IF('Input Sheet'!$B$27="Space heating and Domestic Hot Water",(T23+U23),IF('Input Sheet'!$B$27="Space heating",T23,U23))</f>
        <v>#VALUE!</v>
      </c>
      <c r="W23" s="201">
        <f>'Input Sheet'!$B$39+((('Input Sheet'!$B$45-'Input Sheet'!$B$48)/2)*(('Input Sheet'!$B$39-O23)/('Input Sheet'!$B$39-'Input Sheet'!$B$38)))+((AVERAGE('Input Sheet'!$B$45,'Input Sheet'!$B$48)-'Input Sheet'!$B$39)*(('Input Sheet'!$B$39-O23)/('Input Sheet'!$B$39-'Input Sheet'!$B$38))^(1/'Input Sheet'!$B$46))</f>
        <v>27.953633609854926</v>
      </c>
      <c r="X23" s="201">
        <f>F41</f>
        <v>4.3366889562035462</v>
      </c>
      <c r="Y23" s="200" t="e">
        <f t="shared" si="11"/>
        <v>#VALUE!</v>
      </c>
      <c r="Z23" s="200" t="e">
        <f t="shared" si="6"/>
        <v>#VALUE!</v>
      </c>
      <c r="AA23" s="200" t="e">
        <f t="shared" si="7"/>
        <v>#VALUE!</v>
      </c>
      <c r="AB23" s="200" t="e">
        <f t="shared" si="1"/>
        <v>#VALUE!</v>
      </c>
      <c r="AC23" s="202" t="e">
        <f t="shared" si="8"/>
        <v>#VALUE!</v>
      </c>
      <c r="AD23" s="193"/>
    </row>
    <row r="24" spans="1:35" ht="15.75" x14ac:dyDescent="0.25">
      <c r="A24" s="175" t="s">
        <v>298</v>
      </c>
      <c r="B24" s="175" t="s">
        <v>296</v>
      </c>
      <c r="C24" s="179">
        <f>IF('Input Sheet'!C76="Yes",'Input Sheet'!G86,0)</f>
        <v>0</v>
      </c>
      <c r="D24" s="179">
        <f>IF('Input Sheet'!C76="Yes",'Input Sheet'!C86,0)</f>
        <v>0</v>
      </c>
      <c r="E24" s="179">
        <f>IF('Input Sheet'!C76="Yes",'Input Sheet'!D86,0)</f>
        <v>0</v>
      </c>
      <c r="F24" s="179">
        <f>IF('Input Sheet'!C76="Yes",'Input Sheet'!E86,0)</f>
        <v>0</v>
      </c>
      <c r="G24" s="179">
        <f>IF('Input Sheet'!C76="Yes",'Input Sheet'!F86,0)</f>
        <v>0</v>
      </c>
      <c r="I24" s="203" t="s">
        <v>310</v>
      </c>
      <c r="J24" s="181"/>
      <c r="K24" s="182"/>
      <c r="L24" s="183"/>
      <c r="M24" s="182"/>
      <c r="O24" s="188">
        <f t="shared" si="2"/>
        <v>8</v>
      </c>
      <c r="P24" s="189">
        <f>'Meteorological data'!F24</f>
        <v>9.4399512221365417E-2</v>
      </c>
      <c r="Q24" s="189">
        <f>'Meteorological data'!G24</f>
        <v>7.5114155251141554E-2</v>
      </c>
      <c r="R24" s="190">
        <v>658</v>
      </c>
      <c r="S24" s="191">
        <f>R24*((24-'Input Sheet'!$B$50)/24)</f>
        <v>658</v>
      </c>
      <c r="T24" s="191" t="e">
        <f t="shared" si="3"/>
        <v>#VALUE!</v>
      </c>
      <c r="U24" s="191" t="e">
        <f t="shared" si="4"/>
        <v>#VALUE!</v>
      </c>
      <c r="V24" s="191" t="e">
        <f>IF('Input Sheet'!$B$27="Space heating and Domestic Hot Water",(T24+U24),IF('Input Sheet'!$B$27="Space heating",T24,U24))</f>
        <v>#VALUE!</v>
      </c>
      <c r="W24" s="179">
        <f>'Input Sheet'!$B$39+((('Input Sheet'!$B$45-'Input Sheet'!$B$48)/2)*(('Input Sheet'!$B$39-O24)/('Input Sheet'!$B$39-'Input Sheet'!$B$38)))+((AVERAGE('Input Sheet'!$B$45,'Input Sheet'!$B$48)-'Input Sheet'!$B$39)*(('Input Sheet'!$B$39-O24)/('Input Sheet'!$B$39-'Input Sheet'!$B$38))^(1/'Input Sheet'!$B$46))</f>
        <v>27.209068121243114</v>
      </c>
      <c r="X24" s="179">
        <f>(($X$28-$X$23)/($O$28-$O$23))*(O24-$O$23)+$X$23</f>
        <v>4.302750278265898</v>
      </c>
      <c r="Y24" s="191" t="e">
        <f t="shared" si="11"/>
        <v>#VALUE!</v>
      </c>
      <c r="Z24" s="191" t="e">
        <f t="shared" si="6"/>
        <v>#VALUE!</v>
      </c>
      <c r="AA24" s="191" t="e">
        <f t="shared" si="7"/>
        <v>#VALUE!</v>
      </c>
      <c r="AB24" s="191" t="e">
        <f t="shared" si="1"/>
        <v>#VALUE!</v>
      </c>
      <c r="AC24" s="192" t="e">
        <f t="shared" si="8"/>
        <v>#VALUE!</v>
      </c>
      <c r="AD24" s="193"/>
      <c r="AG24" s="189" t="e">
        <f>IF($J$47&lt;0.5,3.9048*$J$47^2-4.018*$J$47+1.045,0)</f>
        <v>#VALUE!</v>
      </c>
      <c r="AH24" s="189" t="e">
        <f>IF($J$47&lt;0.7,2.0699*$J$47^2-2.8993*$J$47+1.0265,0)</f>
        <v>#VALUE!</v>
      </c>
      <c r="AI24" s="189" t="e">
        <f>IF($J$47&lt;1,1.1182*$J$47^2-2.1276*$J$47+1.0252,0)</f>
        <v>#VALUE!</v>
      </c>
    </row>
    <row r="25" spans="1:35" ht="15.75" x14ac:dyDescent="0.25">
      <c r="A25" s="175" t="s">
        <v>299</v>
      </c>
      <c r="B25" s="175" t="s">
        <v>296</v>
      </c>
      <c r="C25" s="179">
        <f>'Input Sheet'!G90</f>
        <v>5.38</v>
      </c>
      <c r="D25" s="179">
        <f>'Input Sheet'!C90</f>
        <v>5.67</v>
      </c>
      <c r="E25" s="179">
        <f>'Input Sheet'!D90</f>
        <v>3.53</v>
      </c>
      <c r="F25" s="179">
        <f>'Input Sheet'!E90</f>
        <v>4.1399999999999997</v>
      </c>
      <c r="G25" s="179">
        <f>'Input Sheet'!F90</f>
        <v>4.01</v>
      </c>
      <c r="I25" s="203" t="s">
        <v>311</v>
      </c>
      <c r="J25" s="181"/>
      <c r="K25" s="182"/>
      <c r="L25" s="183"/>
      <c r="M25" s="182"/>
      <c r="O25" s="188">
        <f t="shared" si="2"/>
        <v>9</v>
      </c>
      <c r="P25" s="189">
        <f>'Meteorological data'!F25</f>
        <v>8.5486792317486501E-2</v>
      </c>
      <c r="Q25" s="189">
        <f>'Meteorological data'!G25</f>
        <v>7.773972602739726E-2</v>
      </c>
      <c r="R25" s="190">
        <v>681</v>
      </c>
      <c r="S25" s="191">
        <f>R25*((24-'Input Sheet'!$B$50)/24)</f>
        <v>681</v>
      </c>
      <c r="T25" s="191" t="e">
        <f t="shared" si="3"/>
        <v>#VALUE!</v>
      </c>
      <c r="U25" s="191" t="e">
        <f t="shared" si="4"/>
        <v>#VALUE!</v>
      </c>
      <c r="V25" s="191" t="e">
        <f>IF('Input Sheet'!$B$27="Space heating and Domestic Hot Water",(T25+U25),IF('Input Sheet'!$B$27="Space heating",T25,U25))</f>
        <v>#VALUE!</v>
      </c>
      <c r="W25" s="179">
        <f>'Input Sheet'!$B$39+((('Input Sheet'!$B$45-'Input Sheet'!$B$48)/2)*(('Input Sheet'!$B$39-O25)/('Input Sheet'!$B$39-'Input Sheet'!$B$38)))+((AVERAGE('Input Sheet'!$B$45,'Input Sheet'!$B$48)-'Input Sheet'!$B$39)*(('Input Sheet'!$B$39-O25)/('Input Sheet'!$B$39-'Input Sheet'!$B$38))^(1/'Input Sheet'!$B$46))</f>
        <v>26.454198370398224</v>
      </c>
      <c r="X25" s="179">
        <f t="shared" ref="X25:X30" si="13">(($X$28-$X$23)/($O$28-$O$23))*(O25-$O$23)+$X$23</f>
        <v>4.2688116003282497</v>
      </c>
      <c r="Y25" s="191" t="e">
        <f t="shared" si="11"/>
        <v>#VALUE!</v>
      </c>
      <c r="Z25" s="191" t="e">
        <f t="shared" si="6"/>
        <v>#VALUE!</v>
      </c>
      <c r="AA25" s="191" t="e">
        <f t="shared" si="7"/>
        <v>#VALUE!</v>
      </c>
      <c r="AB25" s="191" t="e">
        <f t="shared" si="1"/>
        <v>#VALUE!</v>
      </c>
      <c r="AC25" s="192" t="e">
        <f t="shared" si="8"/>
        <v>#VALUE!</v>
      </c>
      <c r="AD25" s="193"/>
    </row>
    <row r="26" spans="1:35" ht="15.75" x14ac:dyDescent="0.25">
      <c r="A26" s="175" t="s">
        <v>300</v>
      </c>
      <c r="B26" s="175" t="s">
        <v>296</v>
      </c>
      <c r="C26" s="179">
        <f>IF('Input Sheet'!C77="Yes",'Input Sheet'!G94,0)</f>
        <v>0</v>
      </c>
      <c r="D26" s="179">
        <f>IF('Input Sheet'!$C$77="Yes",'Input Sheet'!C94,0)</f>
        <v>0</v>
      </c>
      <c r="E26" s="179">
        <f>IF('Input Sheet'!$C$77="Yes",'Input Sheet'!D94,0)</f>
        <v>0</v>
      </c>
      <c r="F26" s="179">
        <f>IF('Input Sheet'!$C$77="Yes",'Input Sheet'!E94,0)</f>
        <v>0</v>
      </c>
      <c r="G26" s="179">
        <f>IF('Input Sheet'!$C$77="Yes",'Input Sheet'!F94,0)</f>
        <v>0</v>
      </c>
      <c r="I26" s="203" t="s">
        <v>312</v>
      </c>
      <c r="J26" s="183"/>
      <c r="K26" s="193"/>
      <c r="L26" s="183"/>
      <c r="M26" s="193"/>
      <c r="O26" s="188">
        <f t="shared" si="2"/>
        <v>10</v>
      </c>
      <c r="P26" s="189">
        <f>'Meteorological data'!F26</f>
        <v>6.875526782992307E-2</v>
      </c>
      <c r="Q26" s="189">
        <f>'Meteorological data'!G26</f>
        <v>7.294520547945206E-2</v>
      </c>
      <c r="R26" s="190">
        <v>639</v>
      </c>
      <c r="S26" s="191">
        <f>R26*((24-'Input Sheet'!$B$50)/24)</f>
        <v>639</v>
      </c>
      <c r="T26" s="191" t="e">
        <f t="shared" si="3"/>
        <v>#VALUE!</v>
      </c>
      <c r="U26" s="191" t="e">
        <f t="shared" si="4"/>
        <v>#VALUE!</v>
      </c>
      <c r="V26" s="191" t="e">
        <f>IF('Input Sheet'!$B$27="Space heating and Domestic Hot Water",(T26+U26),IF('Input Sheet'!$B$27="Space heating",T26,U26))</f>
        <v>#VALUE!</v>
      </c>
      <c r="W26" s="179">
        <f>'Input Sheet'!$B$39+((('Input Sheet'!$B$45-'Input Sheet'!$B$48)/2)*(('Input Sheet'!$B$39-O26)/('Input Sheet'!$B$39-'Input Sheet'!$B$38)))+((AVERAGE('Input Sheet'!$B$45,'Input Sheet'!$B$48)-'Input Sheet'!$B$39)*(('Input Sheet'!$B$39-O26)/('Input Sheet'!$B$39-'Input Sheet'!$B$38))^(1/'Input Sheet'!$B$46))</f>
        <v>25.687706552586238</v>
      </c>
      <c r="X26" s="179">
        <f t="shared" si="13"/>
        <v>4.2348729223906005</v>
      </c>
      <c r="Y26" s="191" t="e">
        <f t="shared" si="11"/>
        <v>#VALUE!</v>
      </c>
      <c r="Z26" s="191" t="e">
        <f t="shared" si="6"/>
        <v>#VALUE!</v>
      </c>
      <c r="AA26" s="191" t="e">
        <f t="shared" si="7"/>
        <v>#VALUE!</v>
      </c>
      <c r="AB26" s="191" t="e">
        <f t="shared" si="1"/>
        <v>#VALUE!</v>
      </c>
      <c r="AC26" s="192" t="e">
        <f t="shared" si="8"/>
        <v>#VALUE!</v>
      </c>
      <c r="AD26" s="193"/>
    </row>
    <row r="27" spans="1:35" x14ac:dyDescent="0.2">
      <c r="J27" s="183"/>
      <c r="K27" s="193"/>
      <c r="L27" s="183"/>
      <c r="M27" s="193"/>
      <c r="O27" s="188">
        <f t="shared" si="2"/>
        <v>11</v>
      </c>
      <c r="P27" s="189">
        <f>'Meteorological data'!F27</f>
        <v>5.9179025518713124E-2</v>
      </c>
      <c r="Q27" s="189">
        <f>'Meteorological data'!G27</f>
        <v>7.5342465753424653E-2</v>
      </c>
      <c r="R27" s="190">
        <v>660</v>
      </c>
      <c r="S27" s="191">
        <f>R27*((24-'Input Sheet'!$B$50)/24)</f>
        <v>660</v>
      </c>
      <c r="T27" s="191" t="e">
        <f t="shared" si="3"/>
        <v>#VALUE!</v>
      </c>
      <c r="U27" s="191" t="e">
        <f t="shared" si="4"/>
        <v>#VALUE!</v>
      </c>
      <c r="V27" s="191" t="e">
        <f>IF('Input Sheet'!$B$27="Space heating and Domestic Hot Water",(T27+U27),IF('Input Sheet'!$B$27="Space heating",T27,U27))</f>
        <v>#VALUE!</v>
      </c>
      <c r="W27" s="179">
        <f>'Input Sheet'!$B$39+((('Input Sheet'!$B$45-'Input Sheet'!$B$48)/2)*(('Input Sheet'!$B$39-O27)/('Input Sheet'!$B$39-'Input Sheet'!$B$38)))+((AVERAGE('Input Sheet'!$B$45,'Input Sheet'!$B$48)-'Input Sheet'!$B$39)*(('Input Sheet'!$B$39-O27)/('Input Sheet'!$B$39-'Input Sheet'!$B$38))^(1/'Input Sheet'!$B$46))</f>
        <v>24.907922523089209</v>
      </c>
      <c r="X27" s="179">
        <f t="shared" si="13"/>
        <v>4.2009342444529523</v>
      </c>
      <c r="Y27" s="191" t="e">
        <f t="shared" si="11"/>
        <v>#VALUE!</v>
      </c>
      <c r="Z27" s="191" t="e">
        <f t="shared" si="6"/>
        <v>#VALUE!</v>
      </c>
      <c r="AA27" s="191" t="e">
        <f t="shared" si="7"/>
        <v>#VALUE!</v>
      </c>
      <c r="AB27" s="191" t="e">
        <f t="shared" si="1"/>
        <v>#VALUE!</v>
      </c>
      <c r="AC27" s="192" t="e">
        <f t="shared" si="8"/>
        <v>#VALUE!</v>
      </c>
      <c r="AD27" s="193"/>
    </row>
    <row r="28" spans="1:35" x14ac:dyDescent="0.2">
      <c r="A28" s="174" t="s">
        <v>336</v>
      </c>
      <c r="B28" s="174" t="s">
        <v>337</v>
      </c>
      <c r="C28" s="174" t="str">
        <f>IF(C30="Yes","High",IF('Input Sheet'!$B$45&lt;=45,IF('Input Sheet'!C75="Yes","Low",IF('Input Sheet'!C76="Yes","Medium","High")),IF('Input Sheet'!$B$45&lt;=55,IF('Input Sheet'!C76="Yes","Medium",IF('Input Sheet'!C75="Yes","Low","High")),"High")))</f>
        <v>Low</v>
      </c>
      <c r="I28" s="174" t="s">
        <v>46</v>
      </c>
      <c r="J28" s="183"/>
      <c r="K28" s="193"/>
      <c r="L28" s="183"/>
      <c r="M28" s="193"/>
      <c r="O28" s="197">
        <f t="shared" si="2"/>
        <v>12</v>
      </c>
      <c r="P28" s="198">
        <f>'Meteorological data'!F28</f>
        <v>4.3756612807775763E-2</v>
      </c>
      <c r="Q28" s="198">
        <f>'Meteorological data'!G28</f>
        <v>6.9634703196347028E-2</v>
      </c>
      <c r="R28" s="199">
        <v>610</v>
      </c>
      <c r="S28" s="200">
        <f>R28*((24-'Input Sheet'!$B$50)/24)</f>
        <v>610</v>
      </c>
      <c r="T28" s="200" t="e">
        <f t="shared" si="3"/>
        <v>#VALUE!</v>
      </c>
      <c r="U28" s="200" t="e">
        <f t="shared" si="4"/>
        <v>#VALUE!</v>
      </c>
      <c r="V28" s="200" t="e">
        <f>IF('Input Sheet'!$B$27="Space heating and Domestic Hot Water",(T28+U28),IF('Input Sheet'!$B$27="Space heating",T28,U28))</f>
        <v>#VALUE!</v>
      </c>
      <c r="W28" s="201">
        <f>'Input Sheet'!$B$39+((('Input Sheet'!$B$45-'Input Sheet'!$B$48)/2)*(('Input Sheet'!$B$39-O28)/('Input Sheet'!$B$39-'Input Sheet'!$B$38)))+((AVERAGE('Input Sheet'!$B$45,'Input Sheet'!$B$48)-'Input Sheet'!$B$39)*(('Input Sheet'!$B$39-O28)/('Input Sheet'!$B$39-'Input Sheet'!$B$38))^(1/'Input Sheet'!$B$46))</f>
        <v>24.11266625567611</v>
      </c>
      <c r="X28" s="201">
        <f>G41</f>
        <v>4.166995566515304</v>
      </c>
      <c r="Y28" s="200" t="e">
        <f t="shared" si="11"/>
        <v>#VALUE!</v>
      </c>
      <c r="Z28" s="200" t="e">
        <f t="shared" si="6"/>
        <v>#VALUE!</v>
      </c>
      <c r="AA28" s="200" t="e">
        <f t="shared" si="7"/>
        <v>#VALUE!</v>
      </c>
      <c r="AB28" s="200" t="e">
        <f t="shared" si="1"/>
        <v>#VALUE!</v>
      </c>
      <c r="AC28" s="202" t="e">
        <f t="shared" si="8"/>
        <v>#VALUE!</v>
      </c>
      <c r="AD28" s="193"/>
    </row>
    <row r="29" spans="1:35" x14ac:dyDescent="0.2">
      <c r="B29" s="174" t="s">
        <v>338</v>
      </c>
      <c r="C29" s="174" t="str">
        <f>IF(C30="Yes","Error",IF('Input Sheet'!$B$45&lt;=45,IF(C28="Low",IF('Input Sheet'!C76="Yes","Medium","High"),IF(C28="Medium","High","Error")),IF('Input Sheet'!B45&lt;=55,IF(C28="Low","High",IF(C28="Medium","High","Error")),IF('Input Sheet'!C77="Yes","Very High","Error"))))</f>
        <v>High</v>
      </c>
      <c r="J29" s="183"/>
      <c r="K29" s="193"/>
      <c r="L29" s="183"/>
      <c r="M29" s="193"/>
      <c r="N29" s="184"/>
      <c r="O29" s="188">
        <f t="shared" si="2"/>
        <v>13</v>
      </c>
      <c r="P29" s="189">
        <f>'Meteorological data'!F29</f>
        <v>3.1311084410810035E-2</v>
      </c>
      <c r="Q29" s="189">
        <f>'Meteorological data'!G29</f>
        <v>6.6438356164383566E-2</v>
      </c>
      <c r="R29" s="190">
        <v>582</v>
      </c>
      <c r="S29" s="191">
        <f>R29*((24-'Input Sheet'!$B$50)/24)</f>
        <v>582</v>
      </c>
      <c r="T29" s="191" t="e">
        <f t="shared" si="3"/>
        <v>#VALUE!</v>
      </c>
      <c r="U29" s="191" t="e">
        <f t="shared" si="4"/>
        <v>#VALUE!</v>
      </c>
      <c r="V29" s="191" t="e">
        <f>IF('Input Sheet'!$B$27="Space heating and Domestic Hot Water",(T29+U29),IF('Input Sheet'!$B$27="Space heating",T29,U29))</f>
        <v>#VALUE!</v>
      </c>
      <c r="W29" s="179">
        <f>'Input Sheet'!$B$39+((('Input Sheet'!$B$45-'Input Sheet'!$B$48)/2)*(('Input Sheet'!$B$39-O29)/('Input Sheet'!$B$39-'Input Sheet'!$B$38)))+((AVERAGE('Input Sheet'!$B$45,'Input Sheet'!$B$48)-'Input Sheet'!$B$39)*(('Input Sheet'!$B$39-O29)/('Input Sheet'!$B$39-'Input Sheet'!$B$38))^(1/'Input Sheet'!$B$46))</f>
        <v>23.298981932367674</v>
      </c>
      <c r="X29" s="179">
        <f t="shared" si="13"/>
        <v>4.1330568885776557</v>
      </c>
      <c r="Y29" s="191" t="e">
        <f t="shared" si="11"/>
        <v>#VALUE!</v>
      </c>
      <c r="Z29" s="191" t="e">
        <f t="shared" si="6"/>
        <v>#VALUE!</v>
      </c>
      <c r="AA29" s="191" t="e">
        <f t="shared" si="7"/>
        <v>#VALUE!</v>
      </c>
      <c r="AB29" s="191" t="e">
        <f t="shared" si="1"/>
        <v>#VALUE!</v>
      </c>
      <c r="AC29" s="192" t="e">
        <f t="shared" si="8"/>
        <v>#VALUE!</v>
      </c>
      <c r="AD29" s="193"/>
    </row>
    <row r="30" spans="1:35" x14ac:dyDescent="0.2">
      <c r="B30" s="174" t="s">
        <v>205</v>
      </c>
      <c r="C30" s="174" t="str">
        <f>IF(OR('Input Sheet'!B25="Air to Air",'Input Sheet'!B25="Brine to Air",'Input Sheet'!B25="Water to Air"),"Yes","No")</f>
        <v>No</v>
      </c>
      <c r="J30" s="183"/>
      <c r="K30" s="193"/>
      <c r="L30" s="183"/>
      <c r="M30" s="193"/>
      <c r="N30" s="184"/>
      <c r="O30" s="188">
        <f t="shared" si="2"/>
        <v>14</v>
      </c>
      <c r="P30" s="189">
        <f>'Meteorological data'!F30</f>
        <v>1.7251582590606676E-2</v>
      </c>
      <c r="Q30" s="189">
        <f>'Meteorological data'!G30</f>
        <v>5.4908675799086759E-2</v>
      </c>
      <c r="R30" s="190">
        <v>481</v>
      </c>
      <c r="S30" s="191">
        <f>R30*((24-'Input Sheet'!$B$50)/24)</f>
        <v>481</v>
      </c>
      <c r="T30" s="191" t="e">
        <f t="shared" si="3"/>
        <v>#VALUE!</v>
      </c>
      <c r="U30" s="191" t="e">
        <f t="shared" si="4"/>
        <v>#VALUE!</v>
      </c>
      <c r="V30" s="191" t="e">
        <f>IF('Input Sheet'!$B$27="Space heating and Domestic Hot Water",(T30+U30),IF('Input Sheet'!$B$27="Space heating",T30,U30))</f>
        <v>#VALUE!</v>
      </c>
      <c r="W30" s="179">
        <f>'Input Sheet'!$B$39+((('Input Sheet'!$B$45-'Input Sheet'!$B$48)/2)*(('Input Sheet'!$B$39-O30)/('Input Sheet'!$B$39-'Input Sheet'!$B$38)))+((AVERAGE('Input Sheet'!$B$45,'Input Sheet'!$B$48)-'Input Sheet'!$B$39)*(('Input Sheet'!$B$39-O30)/('Input Sheet'!$B$39-'Input Sheet'!$B$38))^(1/'Input Sheet'!$B$46))</f>
        <v>22.462652298977638</v>
      </c>
      <c r="X30" s="179">
        <f t="shared" si="13"/>
        <v>4.0991182106400075</v>
      </c>
      <c r="Y30" s="191" t="e">
        <f t="shared" si="11"/>
        <v>#VALUE!</v>
      </c>
      <c r="Z30" s="191" t="e">
        <f t="shared" si="6"/>
        <v>#VALUE!</v>
      </c>
      <c r="AA30" s="191" t="e">
        <f t="shared" si="7"/>
        <v>#VALUE!</v>
      </c>
      <c r="AB30" s="191" t="e">
        <f t="shared" si="1"/>
        <v>#VALUE!</v>
      </c>
      <c r="AC30" s="192" t="e">
        <f t="shared" si="8"/>
        <v>#VALUE!</v>
      </c>
      <c r="AD30" s="193"/>
    </row>
    <row r="31" spans="1:35" ht="14.25" x14ac:dyDescent="0.2">
      <c r="A31" s="175" t="s">
        <v>314</v>
      </c>
      <c r="B31" s="174" t="str">
        <f>C28</f>
        <v>Low</v>
      </c>
      <c r="C31" s="174">
        <f>IF($C$28="Low",C15,IF($C$28="Medium",C16,C17))</f>
        <v>35</v>
      </c>
      <c r="D31" s="174">
        <f>IF($C$28="Low",D15,IF($C$28="Medium",D16,D17))</f>
        <v>34</v>
      </c>
      <c r="E31" s="174">
        <f>IF($C$28="Low",E15,IF($C$28="Medium",E16,E17))</f>
        <v>30</v>
      </c>
      <c r="F31" s="174">
        <f>IF($C$28="Low",F15,IF($C$28="Medium",F16,F17))</f>
        <v>27</v>
      </c>
      <c r="G31" s="174">
        <f>IF($C$28="Low",G15,IF($C$28="Medium",G16,G17))</f>
        <v>24</v>
      </c>
      <c r="J31" s="183"/>
      <c r="K31" s="193"/>
      <c r="L31" s="183"/>
      <c r="M31" s="193"/>
      <c r="O31" s="188">
        <f t="shared" si="2"/>
        <v>15</v>
      </c>
      <c r="P31" s="189">
        <f>'Meteorological data'!F31</f>
        <v>9.002385094058785E-3</v>
      </c>
      <c r="Q31" s="189">
        <f>'Meteorological data'!G31</f>
        <v>5.7305936073059359E-2</v>
      </c>
      <c r="R31" s="190">
        <v>502</v>
      </c>
      <c r="S31" s="191">
        <f>R31*((24-'Input Sheet'!$B$50)/24)</f>
        <v>502</v>
      </c>
      <c r="T31" s="191" t="e">
        <f t="shared" si="3"/>
        <v>#VALUE!</v>
      </c>
      <c r="U31" s="191" t="e">
        <f t="shared" si="4"/>
        <v>#VALUE!</v>
      </c>
      <c r="V31" s="191" t="e">
        <f>IF('Input Sheet'!$B$27="Space heating and Domestic Hot Water",(T31+U31),IF('Input Sheet'!$B$27="Space heating",T31,U31))</f>
        <v>#VALUE!</v>
      </c>
      <c r="W31" s="179">
        <f>'Input Sheet'!$B$39+((('Input Sheet'!$B$45-'Input Sheet'!$B$48)/2)*(('Input Sheet'!$B$39-O31)/('Input Sheet'!$B$39-'Input Sheet'!$B$38)))+((AVERAGE('Input Sheet'!$B$45,'Input Sheet'!$B$48)-'Input Sheet'!$B$39)*(('Input Sheet'!$B$39-O31)/('Input Sheet'!$B$39-'Input Sheet'!$B$38))^(1/'Input Sheet'!$B$46))</f>
        <v>21.597209841590455</v>
      </c>
      <c r="X31" s="179">
        <f>(($X$28-$X$23)/($O$28-$O$23))*(O31-$O$23)+$X$23</f>
        <v>4.0651795327023583</v>
      </c>
      <c r="Y31" s="191" t="e">
        <f t="shared" si="11"/>
        <v>#VALUE!</v>
      </c>
      <c r="Z31" s="191" t="e">
        <f t="shared" si="6"/>
        <v>#VALUE!</v>
      </c>
      <c r="AA31" s="191" t="e">
        <f t="shared" si="7"/>
        <v>#VALUE!</v>
      </c>
      <c r="AB31" s="191" t="e">
        <f t="shared" si="1"/>
        <v>#VALUE!</v>
      </c>
      <c r="AC31" s="192" t="e">
        <f t="shared" si="8"/>
        <v>#VALUE!</v>
      </c>
      <c r="AD31" s="193"/>
    </row>
    <row r="32" spans="1:35" ht="14.25" x14ac:dyDescent="0.2">
      <c r="A32" s="175" t="s">
        <v>315</v>
      </c>
      <c r="B32" s="174" t="str">
        <f>C29</f>
        <v>High</v>
      </c>
      <c r="C32" s="174">
        <f>IF($C$29="Very High",C18,IF($C$29="High",C17,IF($C$29="Error",0,C16)))</f>
        <v>55</v>
      </c>
      <c r="D32" s="174">
        <f>IF($C$29="Very High",D18,IF($C$29="High",D17,IF($C$29="Error",0,D16)))</f>
        <v>52</v>
      </c>
      <c r="E32" s="174">
        <f>IF($C$29="Very High",E18,IF($C$29="High",E17,IF($C$29="Error",0,E16)))</f>
        <v>42</v>
      </c>
      <c r="F32" s="174">
        <f>IF($C$29="Very High",F18,IF($C$29="High",F17,IF($C$29="Error",0,F16)))</f>
        <v>36</v>
      </c>
      <c r="G32" s="174">
        <f>IF($C$29="Very High",G18,IF($C$29="High",G17,IF($C$29="Error",0,G16)))</f>
        <v>30</v>
      </c>
      <c r="J32" s="183"/>
      <c r="K32" s="193"/>
      <c r="L32" s="183"/>
      <c r="M32" s="193"/>
      <c r="O32" s="188">
        <f t="shared" si="2"/>
        <v>16</v>
      </c>
      <c r="Q32" s="189">
        <f>'Meteorological data'!G32</f>
        <v>4.3721461187214615E-2</v>
      </c>
      <c r="R32" s="190">
        <v>383</v>
      </c>
      <c r="S32" s="191">
        <f>R32*((24-'Input Sheet'!$B$50)/24)</f>
        <v>383</v>
      </c>
      <c r="U32" s="191" t="e">
        <f t="shared" si="4"/>
        <v>#VALUE!</v>
      </c>
      <c r="V32" s="191" t="e">
        <f>IF('Input Sheet'!$B$27="Space heating and Domestic Hot Water",(T32+U32),IF('Input Sheet'!$B$27="Space heating",T32,U32))</f>
        <v>#VALUE!</v>
      </c>
      <c r="W32" s="179" t="s">
        <v>46</v>
      </c>
      <c r="AC32" s="183"/>
      <c r="AD32" s="193"/>
    </row>
    <row r="33" spans="1:30" x14ac:dyDescent="0.2">
      <c r="A33" s="175" t="s">
        <v>316</v>
      </c>
      <c r="B33" s="174" t="str">
        <f>C28</f>
        <v>Low</v>
      </c>
      <c r="C33" s="174">
        <f>IF($C$28="Low",C19,IF($C$28="Medium",C20,C21))</f>
        <v>2.62</v>
      </c>
      <c r="D33" s="174">
        <f>IF($C$28="Low",D19,IF($C$28="Medium",D20,D21))</f>
        <v>3.07</v>
      </c>
      <c r="E33" s="174">
        <f>IF($C$28="Low",E19,IF($C$28="Medium",E20,E21))</f>
        <v>4.3499999999999996</v>
      </c>
      <c r="F33" s="174">
        <f>IF($C$28="Low",F19,IF($C$28="Medium",F20,F21))</f>
        <v>5.7</v>
      </c>
      <c r="G33" s="174">
        <f>IF($C$28="Low",G19,IF($C$28="Medium",G20,G21))</f>
        <v>7.17</v>
      </c>
      <c r="J33" s="183"/>
      <c r="K33" s="193"/>
      <c r="L33" s="183"/>
      <c r="M33" s="193"/>
      <c r="O33" s="188">
        <f t="shared" si="2"/>
        <v>17</v>
      </c>
      <c r="Q33" s="189">
        <f>'Meteorological data'!G33</f>
        <v>2.9566210045662102E-2</v>
      </c>
      <c r="R33" s="190">
        <v>259</v>
      </c>
      <c r="S33" s="191">
        <f>R33*((24-'Input Sheet'!$B$50)/24)</f>
        <v>259</v>
      </c>
      <c r="U33" s="191" t="e">
        <f t="shared" si="4"/>
        <v>#VALUE!</v>
      </c>
      <c r="V33" s="191" t="e">
        <f>IF('Input Sheet'!$B$27="Space heating and Domestic Hot Water",(T33+U33),IF('Input Sheet'!$B$27="Space heating",T33,U33))</f>
        <v>#VALUE!</v>
      </c>
      <c r="W33" s="179" t="s">
        <v>46</v>
      </c>
      <c r="AC33" s="183"/>
      <c r="AD33" s="193"/>
    </row>
    <row r="34" spans="1:30" x14ac:dyDescent="0.2">
      <c r="A34" s="175" t="s">
        <v>317</v>
      </c>
      <c r="B34" s="174" t="str">
        <f>C29</f>
        <v>High</v>
      </c>
      <c r="C34" s="174">
        <f>IF($C$29="Very High",C22,IF($C$29="High",C21,IF($C$29="Error",0,C20)))</f>
        <v>1.99</v>
      </c>
      <c r="D34" s="174">
        <f>IF($C$29="Very High",D22,IF($C$29="High",D21,IF($C$29="Error",0,D20)))</f>
        <v>2.15</v>
      </c>
      <c r="E34" s="174">
        <f>IF($C$29="Very High",E22,IF($C$29="High",E21,IF($C$29="Error",0,E20)))</f>
        <v>3.1</v>
      </c>
      <c r="F34" s="174">
        <f>IF($C$29="Very High",F22,IF($C$29="High",F21,IF($C$29="Error",0,F20)))</f>
        <v>4.26</v>
      </c>
      <c r="G34" s="174">
        <f>IF($C$29="Very High",G22,IF($C$29="High",G21,IF($C$29="Error",0,G20)))</f>
        <v>5.72</v>
      </c>
      <c r="J34" s="183"/>
      <c r="K34" s="193"/>
      <c r="L34" s="183"/>
      <c r="M34" s="193"/>
      <c r="O34" s="188">
        <f t="shared" si="2"/>
        <v>18</v>
      </c>
      <c r="Q34" s="189">
        <f>'Meteorological data'!G34</f>
        <v>1.9406392694063926E-2</v>
      </c>
      <c r="R34" s="190">
        <v>170</v>
      </c>
      <c r="S34" s="191">
        <f>R34*((24-'Input Sheet'!$B$50)/24)</f>
        <v>170</v>
      </c>
      <c r="U34" s="191" t="e">
        <f t="shared" si="4"/>
        <v>#VALUE!</v>
      </c>
      <c r="V34" s="191" t="e">
        <f>IF('Input Sheet'!$B$27="Space heating and Domestic Hot Water",(T34+U34),IF('Input Sheet'!$B$27="Space heating",T34,U34))</f>
        <v>#VALUE!</v>
      </c>
      <c r="W34" s="179" t="s">
        <v>46</v>
      </c>
      <c r="AC34" s="183"/>
      <c r="AD34" s="193"/>
    </row>
    <row r="35" spans="1:30" x14ac:dyDescent="0.2">
      <c r="A35" s="175" t="s">
        <v>318</v>
      </c>
      <c r="B35" s="174" t="str">
        <f>C28</f>
        <v>Low</v>
      </c>
      <c r="C35" s="174">
        <f>IF($C$28="Low",C23,IF($C$28="Medium",C24,C25))</f>
        <v>5.41</v>
      </c>
      <c r="D35" s="174">
        <f>IF($C$28="Low",D23,IF($C$28="Medium",D24,D25))</f>
        <v>6.04</v>
      </c>
      <c r="E35" s="174">
        <f>IF($C$28="Low",E23,IF($C$28="Medium",E24,E25))</f>
        <v>3.67</v>
      </c>
      <c r="F35" s="174">
        <f>IF($C$28="Low",F23,IF($C$28="Medium",F24,F25))</f>
        <v>4.3600000000000003</v>
      </c>
      <c r="G35" s="174">
        <f>IF($C$28="Low",G23,IF($C$28="Medium",G24,G25))</f>
        <v>4.17</v>
      </c>
      <c r="J35" s="183"/>
      <c r="K35" s="193"/>
      <c r="L35" s="183"/>
      <c r="M35" s="193"/>
      <c r="O35" s="188">
        <f t="shared" si="2"/>
        <v>19</v>
      </c>
      <c r="Q35" s="189">
        <f>'Meteorological data'!G35</f>
        <v>1.2785388127853882E-2</v>
      </c>
      <c r="R35" s="190">
        <v>112</v>
      </c>
      <c r="S35" s="191">
        <f>R35*((24-'Input Sheet'!$B$50)/24)</f>
        <v>112</v>
      </c>
      <c r="U35" s="191" t="e">
        <f t="shared" si="4"/>
        <v>#VALUE!</v>
      </c>
      <c r="V35" s="191" t="e">
        <f>IF('Input Sheet'!$B$27="Space heating and Domestic Hot Water",(T35+U35),IF('Input Sheet'!$B$27="Space heating",T35,U35))</f>
        <v>#VALUE!</v>
      </c>
      <c r="W35" s="179" t="s">
        <v>46</v>
      </c>
      <c r="AC35" s="183"/>
      <c r="AD35" s="193"/>
    </row>
    <row r="36" spans="1:30" x14ac:dyDescent="0.2">
      <c r="A36" s="175" t="s">
        <v>319</v>
      </c>
      <c r="B36" s="174" t="str">
        <f>C29</f>
        <v>High</v>
      </c>
      <c r="C36" s="174">
        <f>IF($C$29="Very High",C26,IF($C$29="High",C25,IF($C$29="Error",0,C24)))</f>
        <v>5.38</v>
      </c>
      <c r="D36" s="174">
        <f>IF($C$29="Very High",D26,IF($C$29="High",D25,IF($C$29="Error",0,D24)))</f>
        <v>5.67</v>
      </c>
      <c r="E36" s="174">
        <f>IF($C$29="Very High",E26,IF($C$29="High",E25,IF($C$29="Error",0,E24)))</f>
        <v>3.53</v>
      </c>
      <c r="F36" s="174">
        <f>IF($C$29="Very High",F26,IF($C$29="High",F25,IF($C$29="Error",0,F24)))</f>
        <v>4.1399999999999997</v>
      </c>
      <c r="G36" s="174">
        <f>IF($C$29="Very High",G26,IF($C$29="High",G25,IF($C$29="Error",0,G24)))</f>
        <v>4.01</v>
      </c>
      <c r="J36" s="183"/>
      <c r="K36" s="193"/>
      <c r="L36" s="183"/>
      <c r="M36" s="193"/>
      <c r="O36" s="188">
        <f t="shared" si="2"/>
        <v>20</v>
      </c>
      <c r="Q36" s="189">
        <f>'Meteorological data'!G36</f>
        <v>7.6484018264840184E-3</v>
      </c>
      <c r="R36" s="190">
        <v>67</v>
      </c>
      <c r="S36" s="191">
        <f>R36*((24-'Input Sheet'!$B$50)/24)</f>
        <v>67</v>
      </c>
      <c r="U36" s="191" t="e">
        <f t="shared" si="4"/>
        <v>#VALUE!</v>
      </c>
      <c r="V36" s="191" t="e">
        <f>IF('Input Sheet'!$B$27="Space heating and Domestic Hot Water",(T36+U36),IF('Input Sheet'!$B$27="Space heating",T36,U36))</f>
        <v>#VALUE!</v>
      </c>
      <c r="W36" s="179" t="s">
        <v>46</v>
      </c>
      <c r="X36" s="194" t="s">
        <v>415</v>
      </c>
      <c r="AC36" s="183"/>
      <c r="AD36" s="193"/>
    </row>
    <row r="37" spans="1:30" ht="90" customHeight="1" x14ac:dyDescent="0.2">
      <c r="A37" s="183" t="s">
        <v>407</v>
      </c>
      <c r="B37" s="174" t="s">
        <v>408</v>
      </c>
      <c r="C37" s="205">
        <f>'Input Sheet'!$B$39+(('Input Sheet'!$B$47/2)*(('Input Sheet'!$B$39-C3)/('Input Sheet'!$B$39-'Input Sheet'!$B$38)))+((AVERAGE(55,(55-'Input Sheet'!B47))-'Input Sheet'!$B$39)*(('Input Sheet'!$B$39-C3)/('Input Sheet'!$B$39-'Input Sheet'!$B$38))^(1/'Input Sheet'!$B$46))</f>
        <v>78.663903863108999</v>
      </c>
      <c r="D37" s="205">
        <f>'Input Sheet'!$B$39+((('Input Sheet'!$B$47)/2)*(('Input Sheet'!$B$39-D3)/('Input Sheet'!$B$39-'Input Sheet'!$B$38)))+((AVERAGE(55,(55-'Input Sheet'!$B$47))-'Input Sheet'!$B$39)*(('Input Sheet'!$B$39-D3)/('Input Sheet'!$B$39-'Input Sheet'!$B$38))^(1/'Input Sheet'!$B$46))</f>
        <v>60.768694202670154</v>
      </c>
      <c r="E37" s="205">
        <f>'Input Sheet'!$B$39+((('Input Sheet'!$B$47)/2)*(('Input Sheet'!$B$39-E3)/('Input Sheet'!$B$39-'Input Sheet'!$B$38)))+((AVERAGE(55,(55-'Input Sheet'!$B$47))-'Input Sheet'!$B$39)*(('Input Sheet'!$B$39-E3)/('Input Sheet'!$B$39-'Input Sheet'!$B$38))^(1/'Input Sheet'!$B$46))</f>
        <v>47.544951669541945</v>
      </c>
      <c r="F37" s="205">
        <f>'Input Sheet'!$B$39+((('Input Sheet'!$B$47)/2)*(('Input Sheet'!$B$39-F3)/('Input Sheet'!$B$39-'Input Sheet'!$B$38)))+((AVERAGE(55,(55-'Input Sheet'!$B$47))-'Input Sheet'!$B$39)*(('Input Sheet'!$B$39-F3)/('Input Sheet'!$B$39-'Input Sheet'!$B$38))^(1/'Input Sheet'!$B$46))</f>
        <v>39.721737525653182</v>
      </c>
      <c r="G37" s="205">
        <f>'Input Sheet'!$B$39+((('Input Sheet'!$B$47)/2)*(('Input Sheet'!$B$39-G3)/('Input Sheet'!$B$39-'Input Sheet'!$B$38)))+((AVERAGE(55,(55-'Input Sheet'!$B$47))-'Input Sheet'!$B$39)*(('Input Sheet'!$B$39-G3)/('Input Sheet'!$B$39-'Input Sheet'!$B$38))^(1/'Input Sheet'!$B$46))</f>
        <v>31.319122046475485</v>
      </c>
      <c r="I37" s="186" t="s">
        <v>417</v>
      </c>
      <c r="J37" s="183"/>
      <c r="K37" s="193"/>
      <c r="L37" s="183"/>
      <c r="M37" s="193"/>
      <c r="O37" s="188">
        <f t="shared" si="2"/>
        <v>21</v>
      </c>
      <c r="Q37" s="189">
        <f>'Meteorological data'!G37</f>
        <v>4.2237442922374432E-3</v>
      </c>
      <c r="R37" s="190">
        <v>37</v>
      </c>
      <c r="S37" s="191">
        <f>R37*((24-'Input Sheet'!$B$50)/24)</f>
        <v>37</v>
      </c>
      <c r="U37" s="191" t="e">
        <f t="shared" si="4"/>
        <v>#VALUE!</v>
      </c>
      <c r="V37" s="191" t="e">
        <f>IF('Input Sheet'!$B$27="Space heating and Domestic Hot Water",(T37+U37),IF('Input Sheet'!$B$27="Space heating",T37,U37))</f>
        <v>#VALUE!</v>
      </c>
      <c r="W37" s="179" t="s">
        <v>46</v>
      </c>
      <c r="AC37" s="183"/>
      <c r="AD37" s="193"/>
    </row>
    <row r="38" spans="1:30" x14ac:dyDescent="0.2">
      <c r="A38" s="174" t="s">
        <v>102</v>
      </c>
      <c r="B38" s="175" t="s">
        <v>313</v>
      </c>
      <c r="C38" s="174">
        <f>IF(OR('Input Sheet'!$B$25="Air to Water",'Input Sheet'!$B$25="Air to Air"),C3,IF('Input Sheet'!$B$25="Exhaust Air to Water",'Input Sheet'!B39,IF(OR('Input Sheet'!$B$25="Water to Water",'Input Sheet'!$B$25="Water to Air"),10,MAX(0,MIN(0.15*C3+1.5,4.5)))))</f>
        <v>-20</v>
      </c>
      <c r="D38" s="174">
        <f>IF(OR('Input Sheet'!$B$25="Air to Water",'Input Sheet'!$B$25="Air to Air"),D3,IF('Input Sheet'!$B$25="Exhaust Air to Water",'Input Sheet'!B39,IF(OR('Input Sheet'!$B$25="Water to Water",'Input Sheet'!$B$25="Water to Air"),10,MAX(0,MIN(0.15*D3+1.5,4.5)))))</f>
        <v>-7</v>
      </c>
      <c r="E38" s="174">
        <f>IF(OR('Input Sheet'!$B$25="Air to Water",'Input Sheet'!$B$25="Air to Air"),E3,IF('Input Sheet'!$B$25="Exhaust Air to Water",'Input Sheet'!B39,IF(OR('Input Sheet'!$B$25="Water to Water",'Input Sheet'!$B$25="Water to Air"),10,MAX(0,MIN(0.15*E3+1.5,4.5)))))</f>
        <v>2</v>
      </c>
      <c r="F38" s="174">
        <f>IF(OR('Input Sheet'!$B$25="Air to Water",'Input Sheet'!$B$25="Air to Air"),F3,IF('Input Sheet'!$B$25="Exhaust Air to Water",'Input Sheet'!B39,IF(OR('Input Sheet'!$B$25="Water to Water",'Input Sheet'!$B$25="Water to Air"),10,MAX(0,MIN(0.15*F3+1.5,4.5)))))</f>
        <v>7</v>
      </c>
      <c r="G38" s="174">
        <f>IF(OR('Input Sheet'!$B$25="Air to Water",'Input Sheet'!$B$25="Air to Air"),G3,IF('Input Sheet'!$B$25="Exhaust Air to Water",'Input Sheet'!B39,IF(OR('Input Sheet'!$B$25="Water to Water",'Input Sheet'!$B$25="Water to Air"),10,MAX(0,MIN(0.15*G3+1.5,4.5)))))</f>
        <v>12</v>
      </c>
      <c r="J38" s="183"/>
      <c r="K38" s="182"/>
      <c r="L38" s="183"/>
      <c r="M38" s="182"/>
      <c r="N38" s="175"/>
      <c r="O38" s="188">
        <f t="shared" si="2"/>
        <v>22</v>
      </c>
      <c r="Q38" s="189">
        <f>'Meteorological data'!G38</f>
        <v>3.0821917808219177E-3</v>
      </c>
      <c r="R38" s="190">
        <v>27</v>
      </c>
      <c r="S38" s="191">
        <f>R38*((24-'Input Sheet'!$B$50)/24)</f>
        <v>27</v>
      </c>
      <c r="U38" s="191" t="e">
        <f t="shared" si="4"/>
        <v>#VALUE!</v>
      </c>
      <c r="V38" s="191" t="e">
        <f>IF('Input Sheet'!$B$27="Space heating and Domestic Hot Water",(T38+U38),IF('Input Sheet'!$B$27="Space heating",T38,U38))</f>
        <v>#VALUE!</v>
      </c>
      <c r="W38" s="179" t="s">
        <v>46</v>
      </c>
      <c r="AC38" s="183"/>
      <c r="AD38" s="193"/>
    </row>
    <row r="39" spans="1:30" ht="119.25" customHeight="1" x14ac:dyDescent="0.2">
      <c r="A39" s="174" t="s">
        <v>110</v>
      </c>
      <c r="B39" s="174" t="s">
        <v>171</v>
      </c>
      <c r="C39" s="191">
        <f>'Input Sheet'!$B$39+((('Input Sheet'!$B$45-'Input Sheet'!$B$48)/2)*(('Input Sheet'!$B$39-C3)/('Input Sheet'!$B$39-'Input Sheet'!$B$38)))+((AVERAGE('Input Sheet'!$B$45,'Input Sheet'!$B$48)-'Input Sheet'!$B$39)*(('Input Sheet'!$B$39-C3)/('Input Sheet'!$B$39-'Input Sheet'!$B$38))^(1/'Input Sheet'!$B$46))</f>
        <v>46.017691228244246</v>
      </c>
      <c r="D39" s="191">
        <f>'Input Sheet'!$B$39+((('Input Sheet'!$B$45-'Input Sheet'!$B$48)/2)*(('Input Sheet'!$B$39-D3)/('Input Sheet'!$B$39-'Input Sheet'!$B$38)))+((AVERAGE('Input Sheet'!$B$45,'Input Sheet'!$B$48)-'Input Sheet'!$B$39)*(('Input Sheet'!$B$39-D3)/('Input Sheet'!$B$39-'Input Sheet'!$B$38))^(1/'Input Sheet'!$B$46))</f>
        <v>37.675942066169007</v>
      </c>
      <c r="E39" s="191">
        <f>'Input Sheet'!$B$39+((('Input Sheet'!$B$45-'Input Sheet'!$B$48)/2)*(('Input Sheet'!$B$39-E3)/('Input Sheet'!$B$39-'Input Sheet'!$B$38)))+((AVERAGE('Input Sheet'!$B$45,'Input Sheet'!$B$48)-'Input Sheet'!$B$39)*(('Input Sheet'!$B$39-E3)/('Input Sheet'!$B$39-'Input Sheet'!$B$38))^(1/'Input Sheet'!$B$46))</f>
        <v>31.553437419339634</v>
      </c>
      <c r="F39" s="191">
        <f>'Input Sheet'!$B$39+((('Input Sheet'!$B$45-'Input Sheet'!$B$48)/2)*(('Input Sheet'!$B$39-F3)/('Input Sheet'!$B$39-'Input Sheet'!$B$38)))+((AVERAGE('Input Sheet'!$B$45,'Input Sheet'!$B$48)-'Input Sheet'!$B$39)*(('Input Sheet'!$B$39-F3)/('Input Sheet'!$B$39-'Input Sheet'!$B$38))^(1/'Input Sheet'!$B$46))</f>
        <v>27.953633609854926</v>
      </c>
      <c r="G39" s="191">
        <f>'Input Sheet'!$B$39+((('Input Sheet'!$B$45-'Input Sheet'!$B$48)/2)*(('Input Sheet'!$B$39-G3)/('Input Sheet'!$B$39-'Input Sheet'!$B$38)))+((AVERAGE('Input Sheet'!$B$45,'Input Sheet'!$B$48)-'Input Sheet'!$B$39)*(('Input Sheet'!$B$39-G3)/('Input Sheet'!$B$39-'Input Sheet'!$B$38))^(1/'Input Sheet'!$B$46))</f>
        <v>24.11266625567611</v>
      </c>
      <c r="H39" s="174" t="s">
        <v>46</v>
      </c>
      <c r="L39" s="183"/>
      <c r="M39" s="182"/>
      <c r="O39" s="188">
        <f t="shared" si="2"/>
        <v>23</v>
      </c>
      <c r="Q39" s="189">
        <f>'Meteorological data'!G39</f>
        <v>2.2831050228310501E-3</v>
      </c>
      <c r="R39" s="190">
        <v>20</v>
      </c>
      <c r="S39" s="191">
        <f>R39*((24-'Input Sheet'!$B$50)/24)</f>
        <v>20</v>
      </c>
      <c r="U39" s="191" t="e">
        <f t="shared" si="4"/>
        <v>#VALUE!</v>
      </c>
      <c r="V39" s="191" t="e">
        <f>IF('Input Sheet'!$B$27="Space heating and Domestic Hot Water",(T39+U39),IF('Input Sheet'!$B$27="Space heating",T39,U39))</f>
        <v>#VALUE!</v>
      </c>
      <c r="W39" s="179" t="s">
        <v>46</v>
      </c>
      <c r="AC39" s="183"/>
      <c r="AD39" s="193"/>
    </row>
    <row r="40" spans="1:30" x14ac:dyDescent="0.2">
      <c r="A40" s="174" t="s">
        <v>108</v>
      </c>
      <c r="B40" s="174" t="s">
        <v>4</v>
      </c>
      <c r="C40" s="228" t="s">
        <v>326</v>
      </c>
      <c r="D40" s="228"/>
      <c r="E40" s="228"/>
      <c r="F40" s="228"/>
      <c r="G40" s="228"/>
      <c r="H40" s="228"/>
      <c r="J40" s="183"/>
      <c r="K40" s="183"/>
      <c r="L40" s="183"/>
      <c r="M40" s="183"/>
      <c r="N40" s="175"/>
      <c r="O40" s="188">
        <f t="shared" si="2"/>
        <v>24</v>
      </c>
      <c r="Q40" s="189">
        <f>'Meteorological data'!G40</f>
        <v>1.4840182648401827E-3</v>
      </c>
      <c r="R40" s="190">
        <v>13</v>
      </c>
      <c r="S40" s="191">
        <f>R40*((24-'Input Sheet'!$B$50)/24)</f>
        <v>13</v>
      </c>
      <c r="U40" s="191" t="e">
        <f t="shared" si="4"/>
        <v>#VALUE!</v>
      </c>
      <c r="V40" s="191" t="e">
        <f>IF('Input Sheet'!$B$27="Space heating and Domestic Hot Water",(T40+U40),IF('Input Sheet'!$B$27="Space heating",T40,U40))</f>
        <v>#VALUE!</v>
      </c>
      <c r="W40" s="179" t="s">
        <v>46</v>
      </c>
    </row>
    <row r="41" spans="1:30" ht="102" x14ac:dyDescent="0.2">
      <c r="A41" s="174" t="s">
        <v>111</v>
      </c>
      <c r="B41" s="174" t="s">
        <v>339</v>
      </c>
      <c r="C41" s="179">
        <f>IF($C$29="Error",C35,((C36-C35)/(C32-C31))*(C39-C31)+C35)</f>
        <v>5.3934734631576333</v>
      </c>
      <c r="D41" s="179">
        <f>IF($C$29="Error",D35,((D36-D35)/(D32-D31))*(D39-D31)+D35)</f>
        <v>5.9644389686398593</v>
      </c>
      <c r="E41" s="179">
        <f>IF($C$29="Error",E35,((E36-E35)/(E32-E31))*(E39-E31)+E35)</f>
        <v>3.6518765634410375</v>
      </c>
      <c r="F41" s="179">
        <f>IF($C$29="Error",F35,((F36-F35)/(F32-F31))*(F39-F31)+F35)</f>
        <v>4.3366889562035462</v>
      </c>
      <c r="G41" s="179">
        <f>IF($C$29="Error",G35,((G36-G35)/(G32-G31))*(G39-G31)+G35)</f>
        <v>4.166995566515304</v>
      </c>
      <c r="I41" s="186" t="s">
        <v>418</v>
      </c>
      <c r="J41" s="183"/>
      <c r="K41" s="193"/>
      <c r="L41" s="183"/>
      <c r="M41" s="193"/>
      <c r="N41" s="206"/>
      <c r="O41" s="188">
        <f t="shared" si="2"/>
        <v>25</v>
      </c>
      <c r="Q41" s="189">
        <f>'Meteorological data'!G41</f>
        <v>0</v>
      </c>
      <c r="R41" s="190">
        <v>0</v>
      </c>
      <c r="S41" s="191">
        <f>R41*((24-'Input Sheet'!$B$50)/24)</f>
        <v>0</v>
      </c>
      <c r="U41" s="191" t="e">
        <f t="shared" si="4"/>
        <v>#VALUE!</v>
      </c>
      <c r="V41" s="191" t="e">
        <f>IF('Input Sheet'!$B$27="Space heating and Domestic Hot Water",(T41+U41),IF('Input Sheet'!$B$27="Space heating",T41,U41))</f>
        <v>#VALUE!</v>
      </c>
      <c r="W41" s="179" t="s">
        <v>46</v>
      </c>
    </row>
    <row r="42" spans="1:30" x14ac:dyDescent="0.2">
      <c r="C42" s="191"/>
      <c r="D42" s="191"/>
      <c r="E42" s="191"/>
      <c r="F42" s="191"/>
      <c r="G42" s="191"/>
      <c r="J42" s="183"/>
      <c r="K42" s="193"/>
      <c r="L42" s="183"/>
      <c r="M42" s="193"/>
      <c r="O42" s="188">
        <f t="shared" si="2"/>
        <v>26</v>
      </c>
      <c r="Q42" s="189">
        <f>'Meteorological data'!G42</f>
        <v>0</v>
      </c>
      <c r="R42" s="190">
        <v>0</v>
      </c>
      <c r="S42" s="191">
        <f>R42*((24-'Input Sheet'!$B$50)/24)</f>
        <v>0</v>
      </c>
      <c r="U42" s="191" t="e">
        <f t="shared" si="4"/>
        <v>#VALUE!</v>
      </c>
      <c r="V42" s="191" t="e">
        <f>IF('Input Sheet'!$B$27="Space heating and Domestic Hot Water",(T42+U42),IF('Input Sheet'!$B$27="Space heating",T42,U42))</f>
        <v>#VALUE!</v>
      </c>
      <c r="W42" s="179" t="s">
        <v>46</v>
      </c>
    </row>
    <row r="43" spans="1:30" ht="63.75" x14ac:dyDescent="0.2">
      <c r="A43" s="174" t="s">
        <v>340</v>
      </c>
      <c r="B43" s="174" t="s">
        <v>341</v>
      </c>
      <c r="C43" s="174">
        <f>IF(C28="Low",E35,(D35+E35)/2)</f>
        <v>3.67</v>
      </c>
      <c r="D43" s="174" t="s">
        <v>53</v>
      </c>
      <c r="I43" s="184" t="s">
        <v>5</v>
      </c>
      <c r="J43" s="183"/>
      <c r="K43" s="193"/>
      <c r="L43" s="183"/>
      <c r="M43" s="193"/>
      <c r="N43" s="206"/>
      <c r="O43" s="188">
        <f t="shared" si="2"/>
        <v>27</v>
      </c>
      <c r="Q43" s="189">
        <f>'Meteorological data'!G43</f>
        <v>0</v>
      </c>
      <c r="R43" s="190">
        <v>0</v>
      </c>
      <c r="S43" s="191">
        <f>R43*((24-'Input Sheet'!$B$50)/24)</f>
        <v>0</v>
      </c>
      <c r="U43" s="191" t="e">
        <f t="shared" si="4"/>
        <v>#VALUE!</v>
      </c>
      <c r="V43" s="191" t="e">
        <f>IF('Input Sheet'!$B$27="Space heating and Domestic Hot Water",(T43+U43),IF('Input Sheet'!$B$27="Space heating",T43,U43))</f>
        <v>#VALUE!</v>
      </c>
      <c r="W43" s="179" t="s">
        <v>46</v>
      </c>
    </row>
    <row r="44" spans="1:30" x14ac:dyDescent="0.2">
      <c r="A44" s="174" t="s">
        <v>101</v>
      </c>
      <c r="B44" s="174" t="s">
        <v>112</v>
      </c>
      <c r="C44" s="179">
        <f>C43/(4.182*5)</f>
        <v>0.17551410808225726</v>
      </c>
      <c r="D44" s="179" t="s">
        <v>46</v>
      </c>
      <c r="F44" s="179" t="s">
        <v>46</v>
      </c>
      <c r="G44" s="179" t="s">
        <v>46</v>
      </c>
      <c r="I44" s="174" t="s">
        <v>376</v>
      </c>
      <c r="J44" s="183"/>
      <c r="K44" s="193"/>
      <c r="L44" s="183"/>
      <c r="M44" s="193"/>
      <c r="O44" s="188">
        <f t="shared" si="2"/>
        <v>28</v>
      </c>
      <c r="Q44" s="189">
        <f>'Meteorological data'!G44</f>
        <v>0</v>
      </c>
      <c r="R44" s="190">
        <v>0</v>
      </c>
      <c r="S44" s="191">
        <f>R44*((24-'Input Sheet'!$B$50)/24)</f>
        <v>0</v>
      </c>
      <c r="U44" s="191" t="e">
        <f t="shared" si="4"/>
        <v>#VALUE!</v>
      </c>
      <c r="V44" s="191" t="e">
        <f>IF('Input Sheet'!$B$27="Space heating and Domestic Hot Water",(T44+U44),IF('Input Sheet'!$B$27="Space heating",T44,U44))</f>
        <v>#VALUE!</v>
      </c>
      <c r="W44" s="179" t="s">
        <v>46</v>
      </c>
    </row>
    <row r="45" spans="1:30" x14ac:dyDescent="0.2">
      <c r="A45" s="174" t="s">
        <v>327</v>
      </c>
      <c r="B45" s="174" t="s">
        <v>113</v>
      </c>
      <c r="C45" s="179">
        <f t="shared" ref="C45:G46" si="14">C35/($C$44*4.182)</f>
        <v>7.3705722070844697</v>
      </c>
      <c r="D45" s="179">
        <f t="shared" si="14"/>
        <v>8.228882833787468</v>
      </c>
      <c r="E45" s="179">
        <f t="shared" si="14"/>
        <v>5.0000000000000009</v>
      </c>
      <c r="F45" s="179">
        <f t="shared" si="14"/>
        <v>5.9400544959128077</v>
      </c>
      <c r="G45" s="179">
        <f t="shared" si="14"/>
        <v>5.6811989100817444</v>
      </c>
      <c r="J45" s="183"/>
      <c r="K45" s="193"/>
      <c r="L45" s="183"/>
      <c r="M45" s="193"/>
      <c r="O45" s="188">
        <f t="shared" si="2"/>
        <v>29</v>
      </c>
      <c r="Q45" s="189">
        <f>'Meteorological data'!G45</f>
        <v>0</v>
      </c>
      <c r="R45" s="190">
        <v>0</v>
      </c>
      <c r="S45" s="191">
        <f>R45*((24-'Input Sheet'!$B$50)/24)</f>
        <v>0</v>
      </c>
      <c r="U45" s="191" t="e">
        <f t="shared" si="4"/>
        <v>#VALUE!</v>
      </c>
      <c r="V45" s="191" t="e">
        <f>IF('Input Sheet'!$B$27="Space heating and Domestic Hot Water",(T45+U45),IF('Input Sheet'!$B$27="Space heating",T45,U45))</f>
        <v>#VALUE!</v>
      </c>
      <c r="W45" s="179" t="s">
        <v>46</v>
      </c>
    </row>
    <row r="46" spans="1:30" x14ac:dyDescent="0.2">
      <c r="A46" s="174" t="s">
        <v>175</v>
      </c>
      <c r="B46" s="174" t="s">
        <v>113</v>
      </c>
      <c r="C46" s="179">
        <f t="shared" si="14"/>
        <v>7.329700272479565</v>
      </c>
      <c r="D46" s="179">
        <f t="shared" si="14"/>
        <v>7.7247956403269766</v>
      </c>
      <c r="E46" s="179">
        <f t="shared" si="14"/>
        <v>4.8092643051771127</v>
      </c>
      <c r="F46" s="179">
        <f t="shared" si="14"/>
        <v>5.6403269754768397</v>
      </c>
      <c r="G46" s="179">
        <f t="shared" si="14"/>
        <v>5.4632152588555867</v>
      </c>
      <c r="J46" s="183"/>
      <c r="K46" s="193"/>
      <c r="L46" s="183"/>
      <c r="M46" s="193"/>
      <c r="O46" s="188">
        <f t="shared" si="2"/>
        <v>30</v>
      </c>
      <c r="Q46" s="189">
        <f>'Meteorological data'!G46</f>
        <v>0</v>
      </c>
      <c r="R46" s="190">
        <v>0</v>
      </c>
      <c r="S46" s="191">
        <f>R46*((24-'Input Sheet'!$B$50)/24)</f>
        <v>0</v>
      </c>
      <c r="U46" s="191" t="e">
        <f t="shared" si="4"/>
        <v>#VALUE!</v>
      </c>
      <c r="V46" s="191" t="e">
        <f>IF('Input Sheet'!$B$27="Space heating and Domestic Hot Water",(T46+U46),IF('Input Sheet'!$B$27="Space heating",T46,U46))</f>
        <v>#VALUE!</v>
      </c>
      <c r="W46" s="179" t="s">
        <v>46</v>
      </c>
    </row>
    <row r="47" spans="1:30" x14ac:dyDescent="0.2">
      <c r="A47" s="174" t="s">
        <v>342</v>
      </c>
      <c r="B47" s="174" t="s">
        <v>178</v>
      </c>
      <c r="C47" s="179" t="e">
        <f>'Input Sheet'!B17/1000</f>
        <v>#VALUE!</v>
      </c>
      <c r="D47" s="179" t="s">
        <v>53</v>
      </c>
      <c r="E47" s="179"/>
      <c r="F47" s="179"/>
      <c r="G47" s="179"/>
      <c r="I47" s="194" t="s">
        <v>371</v>
      </c>
      <c r="J47" s="211" t="e">
        <f>C43/C47</f>
        <v>#VALUE!</v>
      </c>
      <c r="K47" s="183"/>
      <c r="L47" s="183"/>
      <c r="M47" s="183"/>
      <c r="N47" s="175"/>
      <c r="O47" s="188">
        <f t="shared" si="2"/>
        <v>31</v>
      </c>
      <c r="Q47" s="189">
        <f>'Meteorological data'!G47</f>
        <v>0</v>
      </c>
      <c r="R47" s="190">
        <v>0</v>
      </c>
      <c r="S47" s="191">
        <f>R47*((24-'Input Sheet'!$B$50)/24)</f>
        <v>0</v>
      </c>
      <c r="U47" s="191" t="e">
        <f t="shared" si="4"/>
        <v>#VALUE!</v>
      </c>
      <c r="V47" s="191" t="e">
        <f>IF('Input Sheet'!$B$27="Space heating and Domestic Hot Water",(T47+U47),IF('Input Sheet'!$B$27="Space heating",T47,U47))</f>
        <v>#VALUE!</v>
      </c>
      <c r="W47" s="179" t="s">
        <v>46</v>
      </c>
    </row>
    <row r="48" spans="1:30" x14ac:dyDescent="0.2">
      <c r="A48" s="174" t="s">
        <v>114</v>
      </c>
      <c r="B48" s="174" t="s">
        <v>179</v>
      </c>
      <c r="C48" s="179">
        <f>'Input Sheet'!B45-'Input Sheet'!B48</f>
        <v>5</v>
      </c>
      <c r="D48" s="179"/>
      <c r="E48" s="179"/>
      <c r="F48" s="179"/>
      <c r="G48" s="179"/>
      <c r="J48" s="183"/>
      <c r="K48" s="193"/>
      <c r="L48" s="183"/>
      <c r="M48" s="193"/>
      <c r="O48" s="188">
        <f t="shared" si="2"/>
        <v>32</v>
      </c>
      <c r="Q48" s="189">
        <f>'Meteorological data'!G48</f>
        <v>0</v>
      </c>
      <c r="R48" s="190">
        <v>0</v>
      </c>
      <c r="S48" s="191">
        <f>R48*((24-'Input Sheet'!$B$50)/24)</f>
        <v>0</v>
      </c>
      <c r="U48" s="191" t="e">
        <f t="shared" si="4"/>
        <v>#VALUE!</v>
      </c>
      <c r="V48" s="191" t="e">
        <f>IF('Input Sheet'!$B$27="Space heating and Domestic Hot Water",(T48+U48),IF('Input Sheet'!$B$27="Space heating",T48,U48))</f>
        <v>#VALUE!</v>
      </c>
      <c r="W48" s="179" t="s">
        <v>46</v>
      </c>
    </row>
    <row r="49" spans="1:23" x14ac:dyDescent="0.2">
      <c r="A49" s="174" t="s">
        <v>343</v>
      </c>
      <c r="B49" s="174" t="s">
        <v>112</v>
      </c>
      <c r="C49" s="179" t="e">
        <f>C47/(C48*4.182)</f>
        <v>#VALUE!</v>
      </c>
      <c r="J49" s="183"/>
      <c r="K49" s="182"/>
      <c r="L49" s="183"/>
      <c r="M49" s="182"/>
      <c r="O49" s="188">
        <f t="shared" si="2"/>
        <v>33</v>
      </c>
      <c r="Q49" s="189">
        <f>'Meteorological data'!G49</f>
        <v>0</v>
      </c>
      <c r="R49" s="190">
        <v>0</v>
      </c>
      <c r="S49" s="191">
        <f>R49*((24-'Input Sheet'!$B$50)/24)</f>
        <v>0</v>
      </c>
      <c r="U49" s="191" t="e">
        <f t="shared" si="4"/>
        <v>#VALUE!</v>
      </c>
      <c r="V49" s="191" t="e">
        <f>IF('Input Sheet'!$B$27="Space heating and Domestic Hot Water",(T49+U49),IF('Input Sheet'!$B$27="Space heating",T49,U49))</f>
        <v>#VALUE!</v>
      </c>
      <c r="W49" s="179" t="s">
        <v>46</v>
      </c>
    </row>
    <row r="50" spans="1:23" x14ac:dyDescent="0.2">
      <c r="A50" s="174" t="s">
        <v>344</v>
      </c>
      <c r="B50" s="174" t="s">
        <v>113</v>
      </c>
      <c r="C50" s="179" t="e">
        <f>C35/($C$49*4.182)</f>
        <v>#VALUE!</v>
      </c>
      <c r="D50" s="179" t="e">
        <f t="shared" ref="D50:G51" si="15">D35/($C$49*4.182)</f>
        <v>#VALUE!</v>
      </c>
      <c r="E50" s="179" t="e">
        <f t="shared" si="15"/>
        <v>#VALUE!</v>
      </c>
      <c r="F50" s="179" t="e">
        <f t="shared" si="15"/>
        <v>#VALUE!</v>
      </c>
      <c r="G50" s="179" t="e">
        <f t="shared" si="15"/>
        <v>#VALUE!</v>
      </c>
      <c r="J50" s="183"/>
      <c r="K50" s="193"/>
      <c r="L50" s="183"/>
      <c r="M50" s="193"/>
      <c r="O50" s="188">
        <f t="shared" si="2"/>
        <v>34</v>
      </c>
      <c r="Q50" s="189">
        <f>'Meteorological data'!G50</f>
        <v>0</v>
      </c>
      <c r="R50" s="190">
        <v>0</v>
      </c>
      <c r="S50" s="191">
        <f>R50*((24-'Input Sheet'!$B$50)/24)</f>
        <v>0</v>
      </c>
      <c r="U50" s="191" t="e">
        <f t="shared" si="4"/>
        <v>#VALUE!</v>
      </c>
      <c r="V50" s="191" t="e">
        <f>IF('Input Sheet'!$B$27="Space heating and Domestic Hot Water",(T50+U50),IF('Input Sheet'!$B$27="Space heating",T50,U50))</f>
        <v>#VALUE!</v>
      </c>
      <c r="W50" s="179" t="s">
        <v>46</v>
      </c>
    </row>
    <row r="51" spans="1:23" x14ac:dyDescent="0.2">
      <c r="A51" s="174" t="s">
        <v>345</v>
      </c>
      <c r="B51" s="174" t="s">
        <v>113</v>
      </c>
      <c r="C51" s="179" t="e">
        <f>C36/($C$49*4.182)</f>
        <v>#VALUE!</v>
      </c>
      <c r="D51" s="179" t="e">
        <f t="shared" si="15"/>
        <v>#VALUE!</v>
      </c>
      <c r="E51" s="179" t="e">
        <f t="shared" si="15"/>
        <v>#VALUE!</v>
      </c>
      <c r="F51" s="179" t="e">
        <f t="shared" si="15"/>
        <v>#VALUE!</v>
      </c>
      <c r="G51" s="179" t="e">
        <f t="shared" si="15"/>
        <v>#VALUE!</v>
      </c>
      <c r="J51" s="183"/>
      <c r="K51" s="193"/>
      <c r="L51" s="183"/>
      <c r="M51" s="193"/>
      <c r="O51" s="188">
        <f t="shared" si="2"/>
        <v>35</v>
      </c>
      <c r="Q51" s="189">
        <f>'Meteorological data'!G51</f>
        <v>0</v>
      </c>
      <c r="R51" s="190">
        <v>0</v>
      </c>
      <c r="S51" s="191">
        <f>R51*((24-'Input Sheet'!$B$50)/24)</f>
        <v>0</v>
      </c>
      <c r="U51" s="191" t="e">
        <f t="shared" si="4"/>
        <v>#VALUE!</v>
      </c>
      <c r="V51" s="191" t="e">
        <f>IF('Input Sheet'!$B$27="Space heating and Domestic Hot Water",(T51+U51),IF('Input Sheet'!$B$27="Space heating",T51,U51))</f>
        <v>#VALUE!</v>
      </c>
      <c r="W51" s="179" t="s">
        <v>46</v>
      </c>
    </row>
    <row r="52" spans="1:23" x14ac:dyDescent="0.2">
      <c r="A52" s="174" t="s">
        <v>328</v>
      </c>
      <c r="B52" s="174" t="s">
        <v>176</v>
      </c>
      <c r="C52" s="179" t="e">
        <f>1-((C45-C50)/2)/((273.15+C31)-C45/2+4-(273.15+C38-4))</f>
        <v>#VALUE!</v>
      </c>
      <c r="D52" s="179" t="e">
        <f>1-((D45-D50)/2)/((273.15+D31)-D45/2+4-(273.15+D38-4))</f>
        <v>#VALUE!</v>
      </c>
      <c r="E52" s="179" t="e">
        <f>1-((E45-E50)/2)/((273.15+E31)-E45/2+4-(273.15+E38-4))</f>
        <v>#VALUE!</v>
      </c>
      <c r="F52" s="179" t="e">
        <f>1-((F45-F50)/2)/((273.15+F31)-F45/2+4-(273.15+F38-4))</f>
        <v>#VALUE!</v>
      </c>
      <c r="G52" s="179" t="e">
        <f>1-((G45-G50)/2)/((273.15+G31)-G45/2+4-(273.15+G38-4))</f>
        <v>#VALUE!</v>
      </c>
      <c r="J52" s="183"/>
      <c r="K52" s="193"/>
      <c r="L52" s="183"/>
      <c r="M52" s="193"/>
      <c r="Q52" s="189"/>
      <c r="R52" s="189"/>
      <c r="S52" s="189"/>
      <c r="U52" s="191"/>
      <c r="V52" s="191"/>
      <c r="W52" s="179"/>
    </row>
    <row r="53" spans="1:23" x14ac:dyDescent="0.2">
      <c r="A53" s="174" t="s">
        <v>329</v>
      </c>
      <c r="B53" s="174" t="s">
        <v>176</v>
      </c>
      <c r="C53" s="179" t="e">
        <f>1-((C46-C51)/2)/((273.15+C32)-C46/2+4-(273.15+C38-4))</f>
        <v>#VALUE!</v>
      </c>
      <c r="D53" s="179" t="e">
        <f>1-((D46-D51)/2)/((273.15+D32)-D46/2+4-(273.15+D38-4))</f>
        <v>#VALUE!</v>
      </c>
      <c r="E53" s="179" t="e">
        <f>1-((E46-E51)/2)/((273.15+E32)-E46/2+4-(273.15+E38-4))</f>
        <v>#VALUE!</v>
      </c>
      <c r="F53" s="179" t="e">
        <f>1-((F46-F51)/2)/((273.15+F32)-F46/2+4-(273.15+F38-4))</f>
        <v>#VALUE!</v>
      </c>
      <c r="G53" s="179" t="e">
        <f>1-((G46-G51)/2)/((273.15+G32)-G46/2+4-(273.15+G38-4))</f>
        <v>#VALUE!</v>
      </c>
      <c r="J53" s="183"/>
      <c r="K53" s="193"/>
      <c r="L53" s="183"/>
      <c r="M53" s="193"/>
    </row>
    <row r="54" spans="1:23" x14ac:dyDescent="0.2">
      <c r="A54" s="174" t="s">
        <v>346</v>
      </c>
      <c r="B54" s="174" t="s">
        <v>176</v>
      </c>
      <c r="C54" s="191" t="e">
        <f>C33*C52</f>
        <v>#VALUE!</v>
      </c>
      <c r="D54" s="191" t="e">
        <f>D33*D52</f>
        <v>#VALUE!</v>
      </c>
      <c r="E54" s="191" t="e">
        <f t="shared" ref="D54:G55" si="16">E33*E52</f>
        <v>#VALUE!</v>
      </c>
      <c r="F54" s="191" t="e">
        <f t="shared" si="16"/>
        <v>#VALUE!</v>
      </c>
      <c r="G54" s="191" t="e">
        <f t="shared" si="16"/>
        <v>#VALUE!</v>
      </c>
      <c r="J54" s="183"/>
      <c r="K54" s="193"/>
      <c r="L54" s="183"/>
      <c r="M54" s="193"/>
    </row>
    <row r="55" spans="1:23" x14ac:dyDescent="0.2">
      <c r="A55" s="174" t="s">
        <v>347</v>
      </c>
      <c r="B55" s="174" t="s">
        <v>176</v>
      </c>
      <c r="C55" s="179" t="e">
        <f>C34*C53</f>
        <v>#VALUE!</v>
      </c>
      <c r="D55" s="179" t="e">
        <f t="shared" si="16"/>
        <v>#VALUE!</v>
      </c>
      <c r="E55" s="179" t="e">
        <f t="shared" si="16"/>
        <v>#VALUE!</v>
      </c>
      <c r="F55" s="179" t="e">
        <f t="shared" si="16"/>
        <v>#VALUE!</v>
      </c>
      <c r="G55" s="179" t="e">
        <f>G34*G53</f>
        <v>#VALUE!</v>
      </c>
      <c r="J55" s="183"/>
      <c r="K55" s="193"/>
      <c r="L55" s="183"/>
      <c r="M55" s="193"/>
    </row>
    <row r="56" spans="1:23" ht="165.75" x14ac:dyDescent="0.2">
      <c r="A56" s="174" t="s">
        <v>115</v>
      </c>
      <c r="B56" s="186" t="s">
        <v>413</v>
      </c>
      <c r="C56" s="179" t="e">
        <f>IF($C$29="Error",IF('Input Sheet'!B26="Fixed Outlet",C54,C54*(((273.15+C37)*(C31-C6))/((273.15+C31)*(C37-C38)))),((C55-C54)/(C32-C31))*(C39-C31)+C54)</f>
        <v>#VALUE!</v>
      </c>
      <c r="D56" s="179" t="e">
        <f>IF($C$29="Error",IF('Input Sheet'!B26="Fixed Outlet",D54,D54*(((273.15+D37)*(D31-D6))/((273.15+D31)*(D37-D38)))),((D55-D54)/(D32-D31))*(D39-D31)+D54)</f>
        <v>#VALUE!</v>
      </c>
      <c r="E56" s="179" t="e">
        <f>IF($C$29="Error",IF('Input Sheet'!B26="Fixed Outlet",E54,E54*(((273.15+E37)*(E31-E6))/((273.15+E31)*(E37-E38)))),((E55-E54)/(E32-E31))*(E39-E31)+E54)</f>
        <v>#VALUE!</v>
      </c>
      <c r="F56" s="179" t="e">
        <f>IF($C$29="Error",IF('Input Sheet'!B26="Fixed Outlet",F54,F54*(((273.15+F37)*(F31-F6))/((273.15+F31)*(F37-F38)))),((F55-F54)/(F32-F31))*(F39-F31)+F54)</f>
        <v>#VALUE!</v>
      </c>
      <c r="G56" s="179" t="e">
        <f>IF($C$29="Error",IF('Input Sheet'!B26="Fixed Outlet",G54,G54*(((273.15+G37)*(G31-G6))/((273.15+G31)*(G37-G38)))),((G55-G54)/(G32-G31))*(G39-G31)+G54)</f>
        <v>#VALUE!</v>
      </c>
      <c r="H56" s="179" t="s">
        <v>46</v>
      </c>
      <c r="I56" s="186" t="s">
        <v>425</v>
      </c>
      <c r="J56" s="183" t="s">
        <v>46</v>
      </c>
      <c r="K56" s="193"/>
      <c r="L56" s="183"/>
      <c r="M56" s="193"/>
    </row>
    <row r="57" spans="1:23" ht="36" customHeight="1" x14ac:dyDescent="0.2">
      <c r="A57" s="194" t="s">
        <v>46</v>
      </c>
      <c r="B57" s="194" t="s">
        <v>46</v>
      </c>
      <c r="C57" s="194" t="s">
        <v>46</v>
      </c>
      <c r="D57" s="194" t="s">
        <v>46</v>
      </c>
      <c r="E57" s="194" t="s">
        <v>46</v>
      </c>
      <c r="F57" s="194" t="s">
        <v>46</v>
      </c>
      <c r="G57" s="194" t="s">
        <v>46</v>
      </c>
      <c r="H57" s="194" t="s">
        <v>46</v>
      </c>
      <c r="J57" s="183"/>
      <c r="K57" s="193"/>
      <c r="L57" s="183"/>
      <c r="M57" s="193"/>
    </row>
    <row r="58" spans="1:23" x14ac:dyDescent="0.2">
      <c r="A58" s="174" t="s">
        <v>177</v>
      </c>
      <c r="C58" s="174" t="s">
        <v>330</v>
      </c>
      <c r="J58" s="183"/>
      <c r="K58" s="193"/>
      <c r="L58" s="183"/>
      <c r="M58" s="193"/>
    </row>
    <row r="59" spans="1:23" x14ac:dyDescent="0.2">
      <c r="J59" s="183"/>
      <c r="K59" s="193"/>
      <c r="L59" s="183"/>
      <c r="M59" s="193"/>
    </row>
    <row r="60" spans="1:23" x14ac:dyDescent="0.2">
      <c r="A60" s="174" t="s">
        <v>219</v>
      </c>
      <c r="B60" s="174" t="s">
        <v>40</v>
      </c>
      <c r="C60" s="179" t="e">
        <f>C8</f>
        <v>#VALUE!</v>
      </c>
      <c r="D60" s="179" t="e">
        <f>D8</f>
        <v>#VALUE!</v>
      </c>
      <c r="E60" s="179" t="e">
        <f>E8</f>
        <v>#VALUE!</v>
      </c>
      <c r="F60" s="179" t="e">
        <f>F8</f>
        <v>#VALUE!</v>
      </c>
      <c r="G60" s="179" t="e">
        <f>G8</f>
        <v>#VALUE!</v>
      </c>
      <c r="H60" s="179" t="e">
        <f>SUM(C60:G60)</f>
        <v>#VALUE!</v>
      </c>
      <c r="J60" s="183"/>
      <c r="K60" s="193"/>
      <c r="L60" s="183"/>
      <c r="M60" s="193"/>
    </row>
    <row r="61" spans="1:23" ht="25.5" x14ac:dyDescent="0.2">
      <c r="A61" s="184" t="s">
        <v>214</v>
      </c>
      <c r="B61" s="174" t="s">
        <v>40</v>
      </c>
      <c r="C61" s="191" t="e">
        <f>SUM(AC4:AC7)</f>
        <v>#VALUE!</v>
      </c>
      <c r="D61" s="191" t="e">
        <f>SUM(AC8:AC13)</f>
        <v>#VALUE!</v>
      </c>
      <c r="E61" s="191" t="e">
        <f>SUM(AC14:AC20)</f>
        <v>#VALUE!</v>
      </c>
      <c r="F61" s="191" t="e">
        <f>SUM(AC21:AC25)</f>
        <v>#VALUE!</v>
      </c>
      <c r="G61" s="191" t="e">
        <f>SUM(AC26:AC31)</f>
        <v>#VALUE!</v>
      </c>
      <c r="J61" s="183"/>
      <c r="K61" s="193"/>
      <c r="L61" s="183"/>
      <c r="M61" s="193"/>
      <c r="N61" s="175"/>
    </row>
    <row r="62" spans="1:23" ht="63.75" x14ac:dyDescent="0.2">
      <c r="A62" s="184" t="s">
        <v>213</v>
      </c>
      <c r="B62" s="174" t="s">
        <v>40</v>
      </c>
      <c r="C62" s="174" t="e">
        <f>C61/'Input Sheet'!$B$56</f>
        <v>#VALUE!</v>
      </c>
      <c r="D62" s="191" t="e">
        <f>D61/'Input Sheet'!$B$56</f>
        <v>#VALUE!</v>
      </c>
      <c r="E62" s="191" t="e">
        <f>E61/'Input Sheet'!$B$56</f>
        <v>#VALUE!</v>
      </c>
      <c r="F62" s="174" t="e">
        <f>F61/'Input Sheet'!$B$56</f>
        <v>#VALUE!</v>
      </c>
      <c r="G62" s="174" t="e">
        <f>G61/'Input Sheet'!$B$56</f>
        <v>#VALUE!</v>
      </c>
      <c r="H62" s="174" t="e">
        <f>SUM(C62:G62)</f>
        <v>#VALUE!</v>
      </c>
      <c r="I62" s="184" t="s">
        <v>215</v>
      </c>
      <c r="J62" s="183"/>
      <c r="K62" s="193"/>
      <c r="L62" s="183"/>
      <c r="M62" s="193"/>
    </row>
    <row r="63" spans="1:23" x14ac:dyDescent="0.2">
      <c r="A63" s="174" t="s">
        <v>216</v>
      </c>
      <c r="J63" s="183"/>
      <c r="K63" s="193"/>
      <c r="L63" s="183"/>
      <c r="M63" s="193"/>
    </row>
    <row r="64" spans="1:23" x14ac:dyDescent="0.2">
      <c r="A64" s="174" t="s">
        <v>218</v>
      </c>
      <c r="J64" s="183"/>
      <c r="K64" s="193"/>
      <c r="L64" s="183"/>
      <c r="M64" s="193"/>
    </row>
    <row r="65" spans="1:14" x14ac:dyDescent="0.2">
      <c r="A65" s="174" t="s">
        <v>217</v>
      </c>
      <c r="J65" s="183"/>
      <c r="K65" s="193"/>
      <c r="L65" s="183"/>
      <c r="M65" s="193"/>
    </row>
    <row r="66" spans="1:14" x14ac:dyDescent="0.2">
      <c r="J66" s="183"/>
      <c r="K66" s="193"/>
      <c r="L66" s="183"/>
      <c r="M66" s="193"/>
    </row>
    <row r="67" spans="1:14" ht="25.5" x14ac:dyDescent="0.2">
      <c r="A67" s="184" t="s">
        <v>183</v>
      </c>
      <c r="B67" s="174" t="s">
        <v>40</v>
      </c>
      <c r="C67" s="191" t="e">
        <f>(C60-C61)/C56</f>
        <v>#VALUE!</v>
      </c>
      <c r="D67" s="191" t="e">
        <f>(D60-D61)/D56</f>
        <v>#VALUE!</v>
      </c>
      <c r="E67" s="191" t="e">
        <f>(E60-E61)/E56</f>
        <v>#VALUE!</v>
      </c>
      <c r="F67" s="191" t="e">
        <f>(F60-F61)/F56</f>
        <v>#VALUE!</v>
      </c>
      <c r="G67" s="191" t="e">
        <f>(G60-G61)/G56</f>
        <v>#VALUE!</v>
      </c>
      <c r="H67" s="191" t="e">
        <f>SUM(C67:G67)</f>
        <v>#VALUE!</v>
      </c>
      <c r="J67" s="183"/>
      <c r="K67" s="193"/>
      <c r="L67" s="183"/>
      <c r="M67" s="193"/>
    </row>
    <row r="68" spans="1:14" x14ac:dyDescent="0.2">
      <c r="J68" s="183"/>
      <c r="K68" s="193"/>
      <c r="L68" s="183"/>
      <c r="M68" s="193"/>
    </row>
    <row r="69" spans="1:14" x14ac:dyDescent="0.2">
      <c r="A69" s="174" t="s">
        <v>184</v>
      </c>
      <c r="B69" s="174" t="s">
        <v>40</v>
      </c>
      <c r="C69" s="191" t="e">
        <f>C62+C67</f>
        <v>#VALUE!</v>
      </c>
      <c r="D69" s="191" t="e">
        <f>D62+D67</f>
        <v>#VALUE!</v>
      </c>
      <c r="E69" s="191" t="e">
        <f>E62+E67</f>
        <v>#VALUE!</v>
      </c>
      <c r="F69" s="191" t="e">
        <f>F62+F67</f>
        <v>#VALUE!</v>
      </c>
      <c r="G69" s="191" t="e">
        <f>G62+G67</f>
        <v>#VALUE!</v>
      </c>
      <c r="H69" s="191" t="e">
        <f>SUM(C69:G69)</f>
        <v>#VALUE!</v>
      </c>
      <c r="J69" s="183"/>
      <c r="K69" s="193"/>
      <c r="L69" s="183"/>
      <c r="M69" s="193"/>
    </row>
    <row r="70" spans="1:14" x14ac:dyDescent="0.2">
      <c r="J70" s="183"/>
      <c r="K70" s="193"/>
      <c r="L70" s="183"/>
      <c r="M70" s="193"/>
    </row>
    <row r="71" spans="1:14" x14ac:dyDescent="0.2">
      <c r="A71" s="174" t="s">
        <v>221</v>
      </c>
      <c r="H71" s="207" t="e">
        <f>H60/H69</f>
        <v>#VALUE!</v>
      </c>
      <c r="J71" s="183"/>
      <c r="K71" s="193"/>
      <c r="L71" s="183"/>
      <c r="M71" s="193"/>
    </row>
    <row r="72" spans="1:14" x14ac:dyDescent="0.2">
      <c r="J72" s="183"/>
      <c r="K72" s="193"/>
      <c r="L72" s="183"/>
      <c r="M72" s="193"/>
    </row>
    <row r="73" spans="1:14" x14ac:dyDescent="0.2">
      <c r="A73" s="174" t="s">
        <v>6</v>
      </c>
      <c r="H73" s="208" t="e">
        <f>IF(H71&gt;2.5,(H71-2.5)*H69,0)</f>
        <v>#VALUE!</v>
      </c>
      <c r="I73" s="174" t="s">
        <v>40</v>
      </c>
      <c r="J73" s="183"/>
      <c r="K73" s="193"/>
      <c r="L73" s="183"/>
      <c r="M73" s="193"/>
    </row>
    <row r="74" spans="1:14" x14ac:dyDescent="0.2">
      <c r="J74" s="183"/>
      <c r="K74" s="193"/>
      <c r="L74" s="183"/>
      <c r="M74" s="193"/>
    </row>
    <row r="75" spans="1:14" x14ac:dyDescent="0.2">
      <c r="A75" s="174" t="s">
        <v>220</v>
      </c>
      <c r="B75" s="174" t="s">
        <v>40</v>
      </c>
      <c r="C75" s="179" t="e">
        <f>C60-C61</f>
        <v>#VALUE!</v>
      </c>
      <c r="D75" s="179" t="e">
        <f>D60-D61</f>
        <v>#VALUE!</v>
      </c>
      <c r="E75" s="179" t="e">
        <f>E60-E61</f>
        <v>#VALUE!</v>
      </c>
      <c r="F75" s="179" t="e">
        <f>F60-F61</f>
        <v>#VALUE!</v>
      </c>
      <c r="G75" s="179" t="e">
        <f>G60-G61</f>
        <v>#VALUE!</v>
      </c>
      <c r="H75" s="179" t="e">
        <f>SUM(C75:G75)</f>
        <v>#VALUE!</v>
      </c>
      <c r="J75" s="183"/>
      <c r="K75" s="193"/>
      <c r="L75" s="183"/>
      <c r="M75" s="193"/>
      <c r="N75" s="184"/>
    </row>
    <row r="76" spans="1:14" x14ac:dyDescent="0.2">
      <c r="J76" s="183"/>
      <c r="K76" s="193"/>
      <c r="L76" s="183"/>
      <c r="M76" s="193"/>
    </row>
    <row r="77" spans="1:14" x14ac:dyDescent="0.2">
      <c r="A77" s="174" t="s">
        <v>222</v>
      </c>
      <c r="H77" s="209" t="e">
        <f>H75/H67</f>
        <v>#VALUE!</v>
      </c>
      <c r="J77" s="183"/>
      <c r="K77" s="193"/>
      <c r="L77" s="183"/>
      <c r="M77" s="193"/>
    </row>
    <row r="78" spans="1:14" x14ac:dyDescent="0.2">
      <c r="J78" s="183"/>
      <c r="K78" s="193"/>
      <c r="L78" s="183"/>
      <c r="M78" s="193"/>
    </row>
    <row r="79" spans="1:14" x14ac:dyDescent="0.2">
      <c r="A79" s="174" t="s">
        <v>7</v>
      </c>
      <c r="H79" s="208" t="e">
        <f>IF(H77&lt;2.5,0,(H77-2.5)*H67)</f>
        <v>#VALUE!</v>
      </c>
      <c r="I79" s="174" t="s">
        <v>40</v>
      </c>
      <c r="J79" s="183"/>
      <c r="K79" s="193"/>
      <c r="L79" s="183"/>
      <c r="M79" s="193"/>
      <c r="N79" s="175"/>
    </row>
    <row r="80" spans="1:14" x14ac:dyDescent="0.2">
      <c r="J80" s="183"/>
      <c r="K80" s="193"/>
      <c r="L80" s="183"/>
      <c r="M80" s="193"/>
    </row>
    <row r="81" spans="1:14" x14ac:dyDescent="0.2">
      <c r="J81" s="183"/>
      <c r="K81" s="193"/>
      <c r="L81" s="183"/>
      <c r="M81" s="193"/>
    </row>
    <row r="82" spans="1:14" x14ac:dyDescent="0.2">
      <c r="A82" s="174" t="s">
        <v>8</v>
      </c>
      <c r="H82" s="210">
        <f>IFERROR(IF('Input Sheet'!B18="No",H79-H73,((H79-H73)*'Input Sheet'!$B$20)/'Input Sheet'!$B$21),0)</f>
        <v>0</v>
      </c>
      <c r="I82" s="174" t="s">
        <v>223</v>
      </c>
      <c r="J82" s="183"/>
      <c r="K82" s="193"/>
      <c r="L82" s="183"/>
      <c r="M82" s="193"/>
      <c r="N82" s="175"/>
    </row>
    <row r="83" spans="1:14" x14ac:dyDescent="0.2">
      <c r="J83" s="184"/>
    </row>
    <row r="84" spans="1:14" x14ac:dyDescent="0.2">
      <c r="J84" s="184"/>
    </row>
    <row r="85" spans="1:14" x14ac:dyDescent="0.2">
      <c r="J85" s="184"/>
    </row>
    <row r="86" spans="1:14" x14ac:dyDescent="0.2">
      <c r="J86" s="184"/>
    </row>
    <row r="87" spans="1:14" x14ac:dyDescent="0.2">
      <c r="J87" s="184"/>
    </row>
    <row r="88" spans="1:14" x14ac:dyDescent="0.2">
      <c r="J88" s="184"/>
    </row>
    <row r="89" spans="1:14" x14ac:dyDescent="0.2">
      <c r="J89" s="184"/>
    </row>
    <row r="90" spans="1:14" x14ac:dyDescent="0.2">
      <c r="J90" s="184"/>
    </row>
  </sheetData>
  <sheetProtection algorithmName="SHA-512" hashValue="97twvTk0f2e5jLYmOvGXcVCzIZEqPZbT1doWImzTuH6FYs3uR2q/6FbLRBHR8BHe0xbTpmrUANToR+dwwFuh1w==" saltValue="pDrlIhssztsV3aCj1t3k2A==" spinCount="100000" sheet="1" objects="1" scenarios="1"/>
  <autoFilter ref="A1:AD56" xr:uid="{00000000-0009-0000-0000-000001000000}"/>
  <mergeCells count="2">
    <mergeCell ref="C40:H40"/>
    <mergeCell ref="AF3:AI3"/>
  </mergeCells>
  <phoneticPr fontId="3"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V87"/>
  <sheetViews>
    <sheetView topLeftCell="B1" zoomScale="85" zoomScaleNormal="85" workbookViewId="0">
      <selection activeCell="V16" sqref="V16"/>
    </sheetView>
  </sheetViews>
  <sheetFormatPr defaultRowHeight="12.75" x14ac:dyDescent="0.2"/>
  <cols>
    <col min="1" max="1" width="35.7109375" customWidth="1"/>
    <col min="12" max="12" width="23" style="69" bestFit="1" customWidth="1"/>
    <col min="13" max="13" width="18.28515625" style="69" customWidth="1"/>
    <col min="14" max="14" width="9.140625" style="69"/>
    <col min="16" max="16" width="13.5703125" customWidth="1"/>
  </cols>
  <sheetData>
    <row r="1" spans="1:22" ht="15.75" x14ac:dyDescent="0.25">
      <c r="A1" t="s">
        <v>46</v>
      </c>
      <c r="M1" s="35"/>
      <c r="N1" s="35"/>
      <c r="P1" t="s">
        <v>384</v>
      </c>
    </row>
    <row r="2" spans="1:22" ht="15.75" x14ac:dyDescent="0.25">
      <c r="A2" s="34" t="s">
        <v>68</v>
      </c>
      <c r="M2" s="35"/>
      <c r="P2" t="s">
        <v>378</v>
      </c>
      <c r="Q2" t="s">
        <v>71</v>
      </c>
      <c r="S2" s="158" t="s">
        <v>421</v>
      </c>
      <c r="T2" s="158" t="s">
        <v>422</v>
      </c>
      <c r="U2" t="s">
        <v>391</v>
      </c>
      <c r="V2" t="s">
        <v>392</v>
      </c>
    </row>
    <row r="3" spans="1:22" ht="15.75" x14ac:dyDescent="0.25">
      <c r="A3" t="s">
        <v>224</v>
      </c>
      <c r="B3">
        <f>'Input Sheet'!B113</f>
        <v>209</v>
      </c>
      <c r="E3" t="s">
        <v>377</v>
      </c>
      <c r="M3" s="35"/>
      <c r="P3" t="s">
        <v>379</v>
      </c>
      <c r="Q3">
        <v>0.34499999999999997</v>
      </c>
      <c r="R3">
        <v>7</v>
      </c>
      <c r="S3" s="172" t="s">
        <v>46</v>
      </c>
      <c r="T3" s="172" t="s">
        <v>46</v>
      </c>
      <c r="U3" s="158">
        <f>IF('Input Sheet'!B18="Yes",0,IF($B$6=P3,IF($B$3&gt;R3,1,0),0))</f>
        <v>0</v>
      </c>
      <c r="V3" s="158">
        <f>IF('Input Sheet'!B18="Yes",0,IF($B$6=P3,IF('Input Sheet'!$B$69&gt;R3,1,0),0))</f>
        <v>0</v>
      </c>
    </row>
    <row r="4" spans="1:22" ht="15.75" x14ac:dyDescent="0.25">
      <c r="A4" t="s">
        <v>122</v>
      </c>
      <c r="B4">
        <f>'Input Sheet'!B68</f>
        <v>65</v>
      </c>
      <c r="C4" t="s">
        <v>41</v>
      </c>
      <c r="M4" s="35"/>
      <c r="P4" t="s">
        <v>380</v>
      </c>
      <c r="Q4">
        <v>2.1</v>
      </c>
      <c r="R4">
        <v>15</v>
      </c>
      <c r="S4" s="172" t="s">
        <v>46</v>
      </c>
      <c r="T4" s="172" t="s">
        <v>46</v>
      </c>
      <c r="U4" s="158">
        <f>IF('Input Sheet'!B18="Yes",0,IF($B$6=P4,IF($B$3&gt;R4,1,0),0))</f>
        <v>0</v>
      </c>
      <c r="V4" s="158">
        <f>IF('Input Sheet'!B18="Yes",0,IF($B$6=P4,IF('Input Sheet'!$B$69&gt;R4,1,0),0))</f>
        <v>0</v>
      </c>
    </row>
    <row r="5" spans="1:22" x14ac:dyDescent="0.2">
      <c r="A5" t="s">
        <v>123</v>
      </c>
      <c r="B5">
        <f>'Input Sheet'!B112</f>
        <v>1.2</v>
      </c>
      <c r="C5" t="s">
        <v>71</v>
      </c>
      <c r="E5" t="s">
        <v>377</v>
      </c>
      <c r="P5" t="s">
        <v>381</v>
      </c>
      <c r="Q5">
        <v>2.1</v>
      </c>
      <c r="R5">
        <v>15</v>
      </c>
      <c r="S5" s="172" t="s">
        <v>46</v>
      </c>
      <c r="T5" s="172" t="s">
        <v>46</v>
      </c>
      <c r="U5" s="158">
        <f>IF('Input Sheet'!B18="Yes",0,IF($B$6=P5,IF($B$3&gt;R5,1,0),0))</f>
        <v>0</v>
      </c>
      <c r="V5" s="158">
        <f>IF('Input Sheet'!B18="Yes",0,IF($B$6=P5,IF('Input Sheet'!$B$69&gt;R5,1,0),0))</f>
        <v>0</v>
      </c>
    </row>
    <row r="6" spans="1:22" x14ac:dyDescent="0.2">
      <c r="A6" t="s">
        <v>385</v>
      </c>
      <c r="B6" t="str">
        <f>'Input Sheet'!B111</f>
        <v>L</v>
      </c>
      <c r="P6" t="s">
        <v>225</v>
      </c>
      <c r="Q6">
        <v>2.1</v>
      </c>
      <c r="R6">
        <v>36</v>
      </c>
      <c r="S6" s="172" t="s">
        <v>46</v>
      </c>
      <c r="T6" s="172" t="s">
        <v>46</v>
      </c>
      <c r="U6" s="158">
        <f>IF('Input Sheet'!B18="Yes",0,IF($B$6=P6,IF($B$3&gt;R6,1,0),0))</f>
        <v>0</v>
      </c>
      <c r="V6" s="158">
        <f>IF('Input Sheet'!B18="Yes",0,IF($B$6=P6,IF('Input Sheet'!$B$69&gt;R6,1,0),0))</f>
        <v>0</v>
      </c>
    </row>
    <row r="7" spans="1:22" x14ac:dyDescent="0.2">
      <c r="A7" t="s">
        <v>389</v>
      </c>
      <c r="B7">
        <f>VLOOKUP(B6,P3:R13,3,)</f>
        <v>130</v>
      </c>
      <c r="C7" t="s">
        <v>70</v>
      </c>
      <c r="E7" t="s">
        <v>46</v>
      </c>
      <c r="G7" s="36" t="s">
        <v>46</v>
      </c>
      <c r="M7" s="153"/>
      <c r="P7" t="s">
        <v>226</v>
      </c>
      <c r="Q7">
        <v>5.8449999999999998</v>
      </c>
      <c r="R7">
        <v>65</v>
      </c>
      <c r="S7" s="28">
        <f>R7/(('Input Sheet'!$B$108-10)/30)</f>
        <v>43.333333333333336</v>
      </c>
      <c r="T7" s="28">
        <f t="shared" ref="T7:T12" si="0">R7/((60-10)/30)</f>
        <v>39</v>
      </c>
      <c r="U7" s="158">
        <f>IF('Input Sheet'!B18="Yes",0,IF($B$6=P7,IF($B$3&lt;S7,1,0),0))</f>
        <v>0</v>
      </c>
      <c r="V7" s="158">
        <f>IF('Input Sheet'!B18="Yes",0,IF($B$6=P7,IF('Input Sheet'!$B$69&lt;T7,1,0),0))</f>
        <v>0</v>
      </c>
    </row>
    <row r="8" spans="1:22" x14ac:dyDescent="0.2">
      <c r="A8" t="s">
        <v>386</v>
      </c>
      <c r="B8">
        <f>VLOOKUP(B6,P3:Q13,2,)</f>
        <v>11.654999999999999</v>
      </c>
      <c r="C8" t="s">
        <v>71</v>
      </c>
      <c r="E8" t="s">
        <v>387</v>
      </c>
      <c r="P8" t="s">
        <v>227</v>
      </c>
      <c r="Q8">
        <v>11.654999999999999</v>
      </c>
      <c r="R8">
        <v>130</v>
      </c>
      <c r="S8" s="28">
        <f>R8/(('Input Sheet'!$B$108-10)/30)</f>
        <v>86.666666666666671</v>
      </c>
      <c r="T8" s="28">
        <f t="shared" si="0"/>
        <v>78</v>
      </c>
      <c r="U8" s="158">
        <f>IF('Input Sheet'!B18="Yes",0,IF($B$6=P8,IF($B$3&lt;S8,1,0),0))</f>
        <v>0</v>
      </c>
      <c r="V8" s="158">
        <f>IF('Input Sheet'!B18="Yes",0,IF($B$6=P8,IF('Input Sheet'!$B$69&lt;T8,1,0),0))</f>
        <v>0</v>
      </c>
    </row>
    <row r="9" spans="1:22" x14ac:dyDescent="0.2">
      <c r="A9" t="s">
        <v>125</v>
      </c>
      <c r="B9">
        <f>'Input Sheet'!B107</f>
        <v>2.9750000000000001</v>
      </c>
      <c r="P9" t="s">
        <v>228</v>
      </c>
      <c r="Q9">
        <v>19.07</v>
      </c>
      <c r="R9">
        <v>210</v>
      </c>
      <c r="S9" s="28">
        <f>R9/(('Input Sheet'!$B$108-10)/30)</f>
        <v>140</v>
      </c>
      <c r="T9" s="28">
        <f t="shared" si="0"/>
        <v>126</v>
      </c>
      <c r="U9" s="158">
        <f>IF('Input Sheet'!B18="Yes",0,IF($B$6=P9,IF($B$3&lt;S9,1,0),0))</f>
        <v>0</v>
      </c>
      <c r="V9" s="158">
        <f>IF('Input Sheet'!B18="Yes",0,IF($B$6=P9,IF('Input Sheet'!$B$69&lt;T9,1,0),0))</f>
        <v>0</v>
      </c>
    </row>
    <row r="10" spans="1:22" x14ac:dyDescent="0.2">
      <c r="A10" t="s">
        <v>187</v>
      </c>
      <c r="B10">
        <f>'Input Sheet'!B110</f>
        <v>6.41</v>
      </c>
      <c r="C10" t="s">
        <v>53</v>
      </c>
      <c r="P10" t="s">
        <v>229</v>
      </c>
      <c r="Q10">
        <v>24.53</v>
      </c>
      <c r="R10">
        <v>300</v>
      </c>
      <c r="S10" s="28">
        <f>R10/(('Input Sheet'!$B$108-10)/30)</f>
        <v>200</v>
      </c>
      <c r="T10" s="28">
        <f t="shared" si="0"/>
        <v>180</v>
      </c>
      <c r="U10" s="158">
        <f>IF('Input Sheet'!B18="Yes",0,IF($B$6=P10,IF($B$3&lt;S10,1,0),0))</f>
        <v>0</v>
      </c>
      <c r="V10" s="158">
        <f>IF('Input Sheet'!B18="Yes",0,IF($B$6=P10,IF('Input Sheet'!$B$69&lt;T10,1,0),0))</f>
        <v>0</v>
      </c>
    </row>
    <row r="11" spans="1:22" x14ac:dyDescent="0.2">
      <c r="A11" t="s">
        <v>46</v>
      </c>
      <c r="P11" t="s">
        <v>382</v>
      </c>
      <c r="Q11">
        <v>46.76</v>
      </c>
      <c r="R11">
        <v>520</v>
      </c>
      <c r="S11" s="28">
        <f>R11/(('Input Sheet'!$B$108-10)/30)</f>
        <v>346.66666666666669</v>
      </c>
      <c r="T11" s="28">
        <f t="shared" si="0"/>
        <v>312</v>
      </c>
      <c r="U11" s="158">
        <f>IF('Input Sheet'!B18="Yes",0,IF($B$6=P11,IF($B$3&lt;S11,1,0),0))</f>
        <v>0</v>
      </c>
      <c r="V11" s="158">
        <f>IF('Input Sheet'!B18="Yes",0,IF($B$6=P11,IF('Input Sheet'!$B$69&lt;T11,1,0),0))</f>
        <v>0</v>
      </c>
    </row>
    <row r="12" spans="1:22" x14ac:dyDescent="0.2">
      <c r="A12" t="s">
        <v>124</v>
      </c>
      <c r="B12" s="27">
        <f>B9*(1+B5/B8)</f>
        <v>3.2813063063063068</v>
      </c>
      <c r="E12" s="68" t="s">
        <v>255</v>
      </c>
      <c r="P12" t="s">
        <v>383</v>
      </c>
      <c r="Q12">
        <v>93.52</v>
      </c>
      <c r="R12">
        <v>1040</v>
      </c>
      <c r="S12" s="28">
        <f>R12/(('Input Sheet'!$B$108-10)/30)</f>
        <v>693.33333333333337</v>
      </c>
      <c r="T12" s="28">
        <f t="shared" si="0"/>
        <v>624</v>
      </c>
      <c r="U12" s="158">
        <f>IF('Input Sheet'!B18="Yes",0,IF($B$6=P12,IF($B$3&lt;S12,1,0),0))</f>
        <v>0</v>
      </c>
      <c r="V12" s="158">
        <f>IF('Input Sheet'!B18="Yes",0,IF($B$6=P12,IF('Input Sheet'!$B$69&lt;T12,1,0),0))</f>
        <v>0</v>
      </c>
    </row>
    <row r="13" spans="1:22" x14ac:dyDescent="0.2">
      <c r="P13">
        <v>0</v>
      </c>
    </row>
    <row r="14" spans="1:22" ht="14.25" x14ac:dyDescent="0.2">
      <c r="A14" t="s">
        <v>119</v>
      </c>
      <c r="B14">
        <f>'Input Sheet'!B108</f>
        <v>55</v>
      </c>
      <c r="C14" s="68" t="s">
        <v>321</v>
      </c>
      <c r="U14">
        <f>SUM(U3:U13)</f>
        <v>0</v>
      </c>
      <c r="V14">
        <f>SUM(V3:V13)</f>
        <v>0</v>
      </c>
    </row>
    <row r="15" spans="1:22" ht="14.25" x14ac:dyDescent="0.2">
      <c r="A15" t="s">
        <v>120</v>
      </c>
      <c r="B15">
        <f>'Input Sheet'!B68</f>
        <v>65</v>
      </c>
      <c r="C15" s="68" t="s">
        <v>321</v>
      </c>
    </row>
    <row r="16" spans="1:22" ht="14.25" x14ac:dyDescent="0.2">
      <c r="A16" t="s">
        <v>121</v>
      </c>
      <c r="B16">
        <f>'Input Sheet'!B67</f>
        <v>10</v>
      </c>
      <c r="C16" s="68" t="s">
        <v>321</v>
      </c>
      <c r="M16" s="153"/>
      <c r="P16" t="s">
        <v>46</v>
      </c>
      <c r="U16" s="158" t="s">
        <v>423</v>
      </c>
      <c r="V16" s="158" t="s">
        <v>424</v>
      </c>
    </row>
    <row r="17" spans="1:21" ht="25.5" x14ac:dyDescent="0.2">
      <c r="A17" s="47" t="s">
        <v>320</v>
      </c>
      <c r="B17" s="28">
        <f>(B15-B14)/(B15-B16)</f>
        <v>0.18181818181818182</v>
      </c>
      <c r="E17" t="s">
        <v>180</v>
      </c>
    </row>
    <row r="18" spans="1:21" x14ac:dyDescent="0.2">
      <c r="U18" s="159" t="s">
        <v>46</v>
      </c>
    </row>
    <row r="19" spans="1:21" x14ac:dyDescent="0.2">
      <c r="A19" t="s">
        <v>388</v>
      </c>
      <c r="B19" t="str">
        <f>IF('Input Sheet'!B18="No",'Input Sheet'!B66,(('Input Sheet'!B66*'Input Sheet'!B19)/'Input Sheet'!B20)*'Input Sheet'!B21)</f>
        <v xml:space="preserve"> </v>
      </c>
      <c r="C19" t="s">
        <v>40</v>
      </c>
    </row>
    <row r="20" spans="1:21" x14ac:dyDescent="0.2">
      <c r="A20" t="s">
        <v>188</v>
      </c>
      <c r="B20" s="28" t="e">
        <f>B19/B10</f>
        <v>#VALUE!</v>
      </c>
      <c r="C20" s="68" t="s">
        <v>47</v>
      </c>
      <c r="M20" s="153"/>
    </row>
    <row r="21" spans="1:21" x14ac:dyDescent="0.2">
      <c r="A21" s="68" t="s">
        <v>98</v>
      </c>
      <c r="B21" s="28">
        <f>8760*((24-'Input Sheet'!$B$50)/24)</f>
        <v>8760</v>
      </c>
      <c r="C21" s="68" t="s">
        <v>47</v>
      </c>
      <c r="E21" t="s">
        <v>256</v>
      </c>
      <c r="M21" s="153"/>
    </row>
    <row r="22" spans="1:21" x14ac:dyDescent="0.2">
      <c r="A22" t="s">
        <v>189</v>
      </c>
      <c r="B22" s="28" t="e">
        <f>IF((B20-B21)&lt;0,0,(B20-B21))</f>
        <v>#VALUE!</v>
      </c>
    </row>
    <row r="23" spans="1:21" ht="25.5" x14ac:dyDescent="0.2">
      <c r="A23" s="47" t="s">
        <v>322</v>
      </c>
      <c r="B23" s="28" t="e">
        <f>(B22*B10)/B19</f>
        <v>#VALUE!</v>
      </c>
      <c r="M23" s="153"/>
    </row>
    <row r="25" spans="1:21" x14ac:dyDescent="0.2">
      <c r="A25" s="68" t="s">
        <v>323</v>
      </c>
      <c r="B25" s="39" t="e">
        <f>(B19*(1-B17-B23))/B12</f>
        <v>#VALUE!</v>
      </c>
      <c r="C25" t="s">
        <v>40</v>
      </c>
      <c r="M25" s="153"/>
    </row>
    <row r="26" spans="1:21" x14ac:dyDescent="0.2">
      <c r="A26" t="s">
        <v>257</v>
      </c>
      <c r="B26" s="39" t="e">
        <f>(B19*B17)/'Input Sheet'!B61</f>
        <v>#VALUE!</v>
      </c>
      <c r="C26" t="s">
        <v>40</v>
      </c>
      <c r="E26" t="s">
        <v>259</v>
      </c>
    </row>
    <row r="27" spans="1:21" x14ac:dyDescent="0.2">
      <c r="A27" t="s">
        <v>258</v>
      </c>
      <c r="B27" s="39" t="e">
        <f>(B19*B23)/'Input Sheet'!B61</f>
        <v>#VALUE!</v>
      </c>
      <c r="C27" t="s">
        <v>40</v>
      </c>
      <c r="E27" t="s">
        <v>259</v>
      </c>
    </row>
    <row r="28" spans="1:21" x14ac:dyDescent="0.2">
      <c r="A28" t="s">
        <v>9</v>
      </c>
      <c r="B28" s="39" t="e">
        <f>SUM(B25:B27)</f>
        <v>#VALUE!</v>
      </c>
      <c r="C28" t="s">
        <v>40</v>
      </c>
    </row>
    <row r="29" spans="1:21" x14ac:dyDescent="0.2">
      <c r="D29" t="s">
        <v>46</v>
      </c>
    </row>
    <row r="30" spans="1:21" x14ac:dyDescent="0.2">
      <c r="A30" s="68" t="s">
        <v>324</v>
      </c>
      <c r="B30" s="43" t="e">
        <f>B19/B28</f>
        <v>#VALUE!</v>
      </c>
      <c r="M30" s="153"/>
    </row>
    <row r="32" spans="1:21" x14ac:dyDescent="0.2">
      <c r="A32" t="s">
        <v>6</v>
      </c>
      <c r="B32" s="87" t="e">
        <f>IF(B30&gt;2.5,(B30-2.5)*B28,0)</f>
        <v>#VALUE!</v>
      </c>
      <c r="C32" t="s">
        <v>40</v>
      </c>
    </row>
    <row r="34" spans="1:14" x14ac:dyDescent="0.2">
      <c r="A34" t="s">
        <v>260</v>
      </c>
      <c r="B34" s="27" t="e">
        <f>B19*(1-B17-B23)</f>
        <v>#VALUE!</v>
      </c>
      <c r="C34" t="s">
        <v>40</v>
      </c>
    </row>
    <row r="36" spans="1:14" x14ac:dyDescent="0.2">
      <c r="A36" t="s">
        <v>261</v>
      </c>
      <c r="B36" s="74" t="e">
        <f>B34/B25</f>
        <v>#VALUE!</v>
      </c>
    </row>
    <row r="37" spans="1:14" x14ac:dyDescent="0.2">
      <c r="B37" s="84"/>
    </row>
    <row r="38" spans="1:14" x14ac:dyDescent="0.2">
      <c r="A38" t="s">
        <v>7</v>
      </c>
      <c r="B38" s="87" t="e">
        <f>IF(B36&lt;2.5,0,(B36-2.5)*B25)</f>
        <v>#VALUE!</v>
      </c>
      <c r="C38" t="s">
        <v>40</v>
      </c>
    </row>
    <row r="39" spans="1:14" x14ac:dyDescent="0.2">
      <c r="B39" s="84"/>
      <c r="N39" s="153"/>
    </row>
    <row r="40" spans="1:14" x14ac:dyDescent="0.2">
      <c r="A40" t="s">
        <v>8</v>
      </c>
      <c r="B40" s="75">
        <f>IFERROR(IF('Input Sheet'!B18="No",B38-B32,((B38-B32)*'Input Sheet'!$B$20)/'Input Sheet'!$B$21),0)</f>
        <v>0</v>
      </c>
      <c r="C40" t="s">
        <v>223</v>
      </c>
      <c r="L40" s="155"/>
      <c r="N40" s="153"/>
    </row>
    <row r="42" spans="1:14" x14ac:dyDescent="0.2">
      <c r="A42" s="34" t="s">
        <v>325</v>
      </c>
    </row>
    <row r="43" spans="1:14" x14ac:dyDescent="0.2">
      <c r="A43" t="s">
        <v>388</v>
      </c>
      <c r="B43" t="str">
        <f>IF('Input Sheet'!B18="No",'Input Sheet'!B66,(('Input Sheet'!B66*'Input Sheet'!B19)/'Input Sheet'!B20)*'Input Sheet'!B21)</f>
        <v xml:space="preserve"> </v>
      </c>
      <c r="C43" t="s">
        <v>40</v>
      </c>
    </row>
    <row r="44" spans="1:14" x14ac:dyDescent="0.2">
      <c r="A44" t="s">
        <v>126</v>
      </c>
      <c r="B44" s="27">
        <f>'Input Sheet'!B117</f>
        <v>0</v>
      </c>
    </row>
    <row r="45" spans="1:14" x14ac:dyDescent="0.2">
      <c r="A45" t="s">
        <v>187</v>
      </c>
      <c r="B45">
        <f>'Input Sheet'!B119</f>
        <v>0</v>
      </c>
      <c r="C45" t="s">
        <v>53</v>
      </c>
    </row>
    <row r="47" spans="1:14" x14ac:dyDescent="0.2">
      <c r="A47" t="s">
        <v>119</v>
      </c>
      <c r="B47">
        <f>'Input Sheet'!B118</f>
        <v>0</v>
      </c>
      <c r="C47" t="s">
        <v>41</v>
      </c>
    </row>
    <row r="48" spans="1:14" x14ac:dyDescent="0.2">
      <c r="A48" t="s">
        <v>120</v>
      </c>
      <c r="B48">
        <f>'Input Sheet'!B68</f>
        <v>65</v>
      </c>
      <c r="C48" t="s">
        <v>41</v>
      </c>
    </row>
    <row r="49" spans="1:14" x14ac:dyDescent="0.2">
      <c r="A49" t="s">
        <v>121</v>
      </c>
      <c r="B49">
        <f>'Input Sheet'!B67</f>
        <v>10</v>
      </c>
      <c r="C49" t="s">
        <v>41</v>
      </c>
    </row>
    <row r="51" spans="1:14" x14ac:dyDescent="0.2">
      <c r="A51" t="s">
        <v>11</v>
      </c>
      <c r="B51" s="28">
        <f>IF((B48-B47)&lt;=0,0,(B48-B47)/(B48-B49))</f>
        <v>1.1818181818181819</v>
      </c>
      <c r="E51" t="s">
        <v>180</v>
      </c>
      <c r="L51" s="155"/>
    </row>
    <row r="52" spans="1:14" x14ac:dyDescent="0.2">
      <c r="L52" s="154"/>
      <c r="N52" s="153"/>
    </row>
    <row r="53" spans="1:14" x14ac:dyDescent="0.2">
      <c r="A53" t="s">
        <v>10</v>
      </c>
      <c r="B53" s="39" t="e">
        <f>(B43*(1-B51))/B44</f>
        <v>#VALUE!</v>
      </c>
      <c r="C53" t="s">
        <v>40</v>
      </c>
      <c r="N53" s="153"/>
    </row>
    <row r="54" spans="1:14" x14ac:dyDescent="0.2">
      <c r="A54" t="s">
        <v>365</v>
      </c>
      <c r="B54" s="39" t="e">
        <f>(B43*B51)/'Input Sheet'!B61</f>
        <v>#VALUE!</v>
      </c>
      <c r="C54" t="s">
        <v>40</v>
      </c>
      <c r="G54" t="s">
        <v>46</v>
      </c>
      <c r="L54" s="155"/>
    </row>
    <row r="55" spans="1:14" x14ac:dyDescent="0.2">
      <c r="A55" t="s">
        <v>9</v>
      </c>
      <c r="B55" s="39" t="e">
        <f>SUM(B53:B54)</f>
        <v>#VALUE!</v>
      </c>
      <c r="C55" t="s">
        <v>40</v>
      </c>
    </row>
    <row r="57" spans="1:14" x14ac:dyDescent="0.2">
      <c r="A57" s="68" t="s">
        <v>324</v>
      </c>
      <c r="B57" s="43" t="e">
        <f>B43/B55</f>
        <v>#VALUE!</v>
      </c>
    </row>
    <row r="59" spans="1:14" x14ac:dyDescent="0.2">
      <c r="A59" t="s">
        <v>6</v>
      </c>
      <c r="B59" s="87" t="e">
        <f>IF(B57&gt;2.5,(B57-2.5)*B55,0)</f>
        <v>#VALUE!</v>
      </c>
      <c r="C59" t="s">
        <v>40</v>
      </c>
    </row>
    <row r="61" spans="1:14" x14ac:dyDescent="0.2">
      <c r="A61" t="s">
        <v>260</v>
      </c>
      <c r="B61" s="27" t="e">
        <f>B43*(1-B51)</f>
        <v>#VALUE!</v>
      </c>
      <c r="C61" t="s">
        <v>40</v>
      </c>
    </row>
    <row r="63" spans="1:14" x14ac:dyDescent="0.2">
      <c r="A63" t="s">
        <v>261</v>
      </c>
      <c r="B63" s="74" t="e">
        <f>B61/B53</f>
        <v>#VALUE!</v>
      </c>
    </row>
    <row r="64" spans="1:14" x14ac:dyDescent="0.2">
      <c r="B64" s="84"/>
    </row>
    <row r="65" spans="1:14" x14ac:dyDescent="0.2">
      <c r="A65" t="s">
        <v>7</v>
      </c>
      <c r="B65" s="87" t="e">
        <f>IF(B63&lt;2.5,0,(B63-2.5)*B53)</f>
        <v>#VALUE!</v>
      </c>
      <c r="C65" t="s">
        <v>40</v>
      </c>
    </row>
    <row r="66" spans="1:14" x14ac:dyDescent="0.2">
      <c r="B66" s="84"/>
    </row>
    <row r="67" spans="1:14" x14ac:dyDescent="0.2">
      <c r="A67" t="s">
        <v>8</v>
      </c>
      <c r="B67" s="75">
        <f>IFERROR(IF('Input Sheet'!B18="No",B65-B59,((B65-B59)*'Input Sheet'!$B$20)/'Input Sheet'!$B$21),0)</f>
        <v>0</v>
      </c>
      <c r="C67" t="s">
        <v>223</v>
      </c>
      <c r="L67" s="155"/>
      <c r="N67" s="153"/>
    </row>
    <row r="70" spans="1:14" x14ac:dyDescent="0.2">
      <c r="A70" s="34" t="s">
        <v>262</v>
      </c>
    </row>
    <row r="71" spans="1:14" x14ac:dyDescent="0.2">
      <c r="A71" t="s">
        <v>388</v>
      </c>
      <c r="B71" t="str">
        <f>IF('Input Sheet'!B18="No",'Input Sheet'!B66,(('Input Sheet'!B66*'Input Sheet'!B19)/'Input Sheet'!B20)*'Input Sheet'!B21)</f>
        <v xml:space="preserve"> </v>
      </c>
      <c r="C71" t="s">
        <v>40</v>
      </c>
    </row>
    <row r="72" spans="1:14" x14ac:dyDescent="0.2">
      <c r="A72" t="s">
        <v>263</v>
      </c>
      <c r="B72" s="27">
        <f>'Input Sheet'!B99</f>
        <v>0</v>
      </c>
    </row>
    <row r="73" spans="1:14" x14ac:dyDescent="0.2">
      <c r="A73" t="s">
        <v>366</v>
      </c>
      <c r="B73" s="27">
        <f>IF(AND('Input Sheet'!B101="No",'Input Sheet'!B102="Yes"),0.7,1)</f>
        <v>1</v>
      </c>
    </row>
    <row r="74" spans="1:14" x14ac:dyDescent="0.2">
      <c r="A74" t="s">
        <v>46</v>
      </c>
      <c r="B74" t="s">
        <v>264</v>
      </c>
      <c r="C74" t="s">
        <v>46</v>
      </c>
    </row>
    <row r="75" spans="1:14" x14ac:dyDescent="0.2">
      <c r="A75" s="68" t="s">
        <v>324</v>
      </c>
      <c r="B75" s="43" t="e">
        <f>IF(AND('Input Sheet'!$B$101="No",'Input Sheet'!$B$102="Yes"),'DHW Calc'!B72,(1/(50/(B72*100)+0.5)))</f>
        <v>#DIV/0!</v>
      </c>
      <c r="N75" s="153"/>
    </row>
    <row r="76" spans="1:14" x14ac:dyDescent="0.2">
      <c r="A76" s="68"/>
      <c r="B76" s="85"/>
    </row>
    <row r="77" spans="1:14" x14ac:dyDescent="0.2">
      <c r="A77" t="s">
        <v>9</v>
      </c>
      <c r="B77" s="85" t="e">
        <f>B71/B75</f>
        <v>#VALUE!</v>
      </c>
      <c r="C77" t="s">
        <v>40</v>
      </c>
    </row>
    <row r="79" spans="1:14" x14ac:dyDescent="0.2">
      <c r="A79" t="s">
        <v>6</v>
      </c>
      <c r="B79" s="87" t="e">
        <f>IF(B75&gt;2.5,(B75-2.5)*B77,0)</f>
        <v>#DIV/0!</v>
      </c>
      <c r="C79" t="s">
        <v>40</v>
      </c>
    </row>
    <row r="81" spans="1:14" x14ac:dyDescent="0.2">
      <c r="A81" t="s">
        <v>260</v>
      </c>
      <c r="B81" s="27" t="e">
        <f>IF(B75=B72,B71,B71*0.5)</f>
        <v>#DIV/0!</v>
      </c>
      <c r="C81" t="s">
        <v>40</v>
      </c>
    </row>
    <row r="83" spans="1:14" x14ac:dyDescent="0.2">
      <c r="A83" t="s">
        <v>10</v>
      </c>
      <c r="B83" t="e">
        <f>B81/B72</f>
        <v>#DIV/0!</v>
      </c>
      <c r="C83" t="s">
        <v>40</v>
      </c>
    </row>
    <row r="85" spans="1:14" x14ac:dyDescent="0.2">
      <c r="A85" t="s">
        <v>7</v>
      </c>
      <c r="B85" s="87">
        <f>IF(B72&lt;2.5,0,(B72-2.5)*B83)</f>
        <v>0</v>
      </c>
      <c r="C85" t="s">
        <v>40</v>
      </c>
      <c r="N85" s="153"/>
    </row>
    <row r="86" spans="1:14" x14ac:dyDescent="0.2">
      <c r="B86" s="84"/>
    </row>
    <row r="87" spans="1:14" x14ac:dyDescent="0.2">
      <c r="A87" t="s">
        <v>8</v>
      </c>
      <c r="B87" s="75">
        <f>IFERROR(IF('Input Sheet'!B18="No",B85-B79,((B85-B79)*'Input Sheet'!$B$20)/'Input Sheet'!$B$21),0)</f>
        <v>0</v>
      </c>
      <c r="C87" t="s">
        <v>223</v>
      </c>
      <c r="L87" s="155"/>
      <c r="N87" s="153"/>
    </row>
  </sheetData>
  <sheetProtection algorithmName="SHA-512" hashValue="Vy6SvZygAMCNzw3XEX84eS34DXRdYfv/WqrrErtoRVj20Q7Xp6FPuiKMQaMUttSOGAVTkGI757mB+M016Sqtgw==" saltValue="OSc9XS8Npi0EZSWDNsxINA=="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L52"/>
  <sheetViews>
    <sheetView zoomScale="70" zoomScaleNormal="70" workbookViewId="0">
      <selection activeCell="C3" sqref="C3"/>
    </sheetView>
  </sheetViews>
  <sheetFormatPr defaultRowHeight="12.75" x14ac:dyDescent="0.2"/>
  <cols>
    <col min="2" max="2" width="44.7109375" customWidth="1"/>
    <col min="3" max="3" width="19.140625" customWidth="1"/>
    <col min="4" max="4" width="18.28515625" customWidth="1"/>
    <col min="5" max="5" width="18.5703125" customWidth="1"/>
    <col min="6" max="6" width="31.140625" customWidth="1"/>
    <col min="7" max="7" width="28.42578125" customWidth="1"/>
    <col min="10" max="10" width="12.7109375" style="69" customWidth="1"/>
    <col min="11" max="12" width="9.140625" style="69"/>
  </cols>
  <sheetData>
    <row r="1" spans="1:12" x14ac:dyDescent="0.2">
      <c r="B1">
        <v>16</v>
      </c>
      <c r="C1" t="s">
        <v>82</v>
      </c>
      <c r="F1" t="s">
        <v>46</v>
      </c>
      <c r="G1" t="s">
        <v>83</v>
      </c>
      <c r="L1" s="153"/>
    </row>
    <row r="2" spans="1:12" x14ac:dyDescent="0.2">
      <c r="C2" t="s">
        <v>84</v>
      </c>
    </row>
    <row r="3" spans="1:12" ht="119.25" customHeight="1" x14ac:dyDescent="0.2">
      <c r="A3" s="22" t="s">
        <v>85</v>
      </c>
      <c r="B3" s="22" t="s">
        <v>162</v>
      </c>
      <c r="C3" s="22" t="s">
        <v>97</v>
      </c>
      <c r="D3" t="s">
        <v>86</v>
      </c>
      <c r="E3" s="23" t="s">
        <v>265</v>
      </c>
      <c r="F3" t="s">
        <v>87</v>
      </c>
      <c r="G3" t="s">
        <v>88</v>
      </c>
    </row>
    <row r="4" spans="1:12" x14ac:dyDescent="0.2">
      <c r="A4" s="24">
        <v>-12</v>
      </c>
      <c r="B4" s="25">
        <v>0</v>
      </c>
      <c r="C4">
        <f>SUM(B$4:$B4)</f>
        <v>0</v>
      </c>
      <c r="D4">
        <f>($B$1-A4)*B4</f>
        <v>0</v>
      </c>
      <c r="E4">
        <f>SUM($D$4:D4)</f>
        <v>0</v>
      </c>
      <c r="F4" s="26">
        <f t="shared" ref="F4:F31" si="0">D4/$E$31</f>
        <v>0</v>
      </c>
      <c r="G4" s="26">
        <f t="shared" ref="G4:G35" si="1">B4/8760</f>
        <v>0</v>
      </c>
    </row>
    <row r="5" spans="1:12" x14ac:dyDescent="0.2">
      <c r="A5" s="24">
        <f t="shared" ref="A5:A51" si="2">A4+1</f>
        <v>-11</v>
      </c>
      <c r="B5" s="25">
        <v>0</v>
      </c>
      <c r="C5">
        <f>SUM(B$4:$B5)</f>
        <v>0</v>
      </c>
      <c r="D5">
        <f t="shared" ref="D5:D32" si="3">($B$1-A5)*B5</f>
        <v>0</v>
      </c>
      <c r="E5">
        <f>SUM($D$4:D5)</f>
        <v>0</v>
      </c>
      <c r="F5" s="26">
        <f t="shared" si="0"/>
        <v>0</v>
      </c>
      <c r="G5" s="26">
        <f t="shared" si="1"/>
        <v>0</v>
      </c>
    </row>
    <row r="6" spans="1:12" x14ac:dyDescent="0.2">
      <c r="A6" s="24">
        <f t="shared" si="2"/>
        <v>-10</v>
      </c>
      <c r="B6" s="25">
        <v>0</v>
      </c>
      <c r="C6">
        <f>SUM(B$4:$B6)</f>
        <v>0</v>
      </c>
      <c r="D6">
        <f t="shared" si="3"/>
        <v>0</v>
      </c>
      <c r="E6">
        <f>SUM($D$4:D6)</f>
        <v>0</v>
      </c>
      <c r="F6" s="26">
        <f t="shared" si="0"/>
        <v>0</v>
      </c>
      <c r="G6" s="26">
        <f t="shared" si="1"/>
        <v>0</v>
      </c>
      <c r="J6" s="155"/>
      <c r="K6" s="155"/>
      <c r="L6" s="153"/>
    </row>
    <row r="7" spans="1:12" x14ac:dyDescent="0.2">
      <c r="A7" s="24">
        <f t="shared" si="2"/>
        <v>-9</v>
      </c>
      <c r="B7" s="25">
        <v>0</v>
      </c>
      <c r="C7">
        <f>SUM(B$4:$B7)</f>
        <v>0</v>
      </c>
      <c r="D7">
        <f t="shared" si="3"/>
        <v>0</v>
      </c>
      <c r="E7">
        <f>SUM($D$4:D7)</f>
        <v>0</v>
      </c>
      <c r="F7" s="26">
        <f t="shared" si="0"/>
        <v>0</v>
      </c>
      <c r="G7" s="26">
        <f t="shared" si="1"/>
        <v>0</v>
      </c>
    </row>
    <row r="8" spans="1:12" x14ac:dyDescent="0.2">
      <c r="A8" s="24">
        <f t="shared" si="2"/>
        <v>-8</v>
      </c>
      <c r="B8" s="25">
        <v>0</v>
      </c>
      <c r="C8">
        <f>SUM(B$4:$B8)</f>
        <v>0</v>
      </c>
      <c r="D8">
        <f t="shared" si="3"/>
        <v>0</v>
      </c>
      <c r="E8">
        <f>SUM($D$4:D8)</f>
        <v>0</v>
      </c>
      <c r="F8" s="26">
        <f t="shared" si="0"/>
        <v>0</v>
      </c>
      <c r="G8" s="26">
        <f t="shared" si="1"/>
        <v>0</v>
      </c>
    </row>
    <row r="9" spans="1:12" x14ac:dyDescent="0.2">
      <c r="A9" s="24">
        <f t="shared" si="2"/>
        <v>-7</v>
      </c>
      <c r="B9" s="25">
        <v>0</v>
      </c>
      <c r="C9">
        <f>SUM(B$4:$B9)</f>
        <v>0</v>
      </c>
      <c r="D9">
        <f t="shared" si="3"/>
        <v>0</v>
      </c>
      <c r="E9">
        <f>SUM($D$4:D9)</f>
        <v>0</v>
      </c>
      <c r="F9" s="26">
        <f t="shared" si="0"/>
        <v>0</v>
      </c>
      <c r="G9" s="26">
        <f t="shared" si="1"/>
        <v>0</v>
      </c>
    </row>
    <row r="10" spans="1:12" x14ac:dyDescent="0.2">
      <c r="A10" s="24">
        <f t="shared" si="2"/>
        <v>-6</v>
      </c>
      <c r="B10" s="25">
        <v>0</v>
      </c>
      <c r="C10">
        <f>SUM(B$4:$B10)</f>
        <v>0</v>
      </c>
      <c r="D10">
        <f t="shared" si="3"/>
        <v>0</v>
      </c>
      <c r="E10">
        <f>SUM($D$4:D10)</f>
        <v>0</v>
      </c>
      <c r="F10" s="26">
        <f t="shared" si="0"/>
        <v>0</v>
      </c>
      <c r="G10" s="26">
        <f t="shared" si="1"/>
        <v>0</v>
      </c>
    </row>
    <row r="11" spans="1:12" x14ac:dyDescent="0.2">
      <c r="A11" s="24">
        <f t="shared" si="2"/>
        <v>-5</v>
      </c>
      <c r="B11" s="25">
        <v>0</v>
      </c>
      <c r="C11">
        <f>SUM(B$4:$B11)</f>
        <v>0</v>
      </c>
      <c r="D11">
        <f t="shared" si="3"/>
        <v>0</v>
      </c>
      <c r="E11">
        <f>SUM($D$4:D11)</f>
        <v>0</v>
      </c>
      <c r="F11" s="26">
        <f t="shared" si="0"/>
        <v>0</v>
      </c>
      <c r="G11" s="26">
        <f t="shared" si="1"/>
        <v>0</v>
      </c>
    </row>
    <row r="12" spans="1:12" x14ac:dyDescent="0.2">
      <c r="A12" s="24">
        <f t="shared" si="2"/>
        <v>-4</v>
      </c>
      <c r="B12" s="25">
        <v>0</v>
      </c>
      <c r="C12">
        <f>SUM(B$4:$B12)</f>
        <v>0</v>
      </c>
      <c r="D12">
        <f t="shared" si="3"/>
        <v>0</v>
      </c>
      <c r="E12">
        <f>SUM($D$4:D12)</f>
        <v>0</v>
      </c>
      <c r="F12" s="26">
        <f t="shared" si="0"/>
        <v>0</v>
      </c>
      <c r="G12" s="26">
        <f t="shared" si="1"/>
        <v>0</v>
      </c>
    </row>
    <row r="13" spans="1:12" x14ac:dyDescent="0.2">
      <c r="A13" s="24">
        <f t="shared" si="2"/>
        <v>-3</v>
      </c>
      <c r="B13" s="25">
        <v>4</v>
      </c>
      <c r="C13">
        <f>SUM(B$4:$B13)</f>
        <v>4</v>
      </c>
      <c r="D13">
        <f>($B$1-A13)*B13</f>
        <v>76</v>
      </c>
      <c r="E13">
        <f>SUM($D$4:D13)</f>
        <v>76</v>
      </c>
      <c r="F13" s="26">
        <f>D13/$E$31</f>
        <v>1.3629108907339993E-3</v>
      </c>
      <c r="G13" s="26">
        <f t="shared" si="1"/>
        <v>4.5662100456621003E-4</v>
      </c>
    </row>
    <row r="14" spans="1:12" x14ac:dyDescent="0.2">
      <c r="A14" s="24">
        <f t="shared" si="2"/>
        <v>-2</v>
      </c>
      <c r="B14" s="25">
        <v>14</v>
      </c>
      <c r="C14">
        <f>SUM(B$4:$B14)</f>
        <v>18</v>
      </c>
      <c r="D14">
        <f>($B$1-A14)*B14</f>
        <v>252</v>
      </c>
      <c r="E14">
        <f>SUM($D$4:D14)</f>
        <v>328</v>
      </c>
      <c r="F14" s="26">
        <f>D14/$E$31</f>
        <v>4.5191255850653657E-3</v>
      </c>
      <c r="G14" s="26">
        <f t="shared" si="1"/>
        <v>1.5981735159817352E-3</v>
      </c>
    </row>
    <row r="15" spans="1:12" x14ac:dyDescent="0.2">
      <c r="A15" s="24">
        <f t="shared" si="2"/>
        <v>-1</v>
      </c>
      <c r="B15" s="25">
        <v>44</v>
      </c>
      <c r="C15">
        <f>SUM(B$4:$B15)</f>
        <v>62</v>
      </c>
      <c r="D15">
        <f t="shared" si="3"/>
        <v>748</v>
      </c>
      <c r="E15">
        <f>SUM($D$4:D15)</f>
        <v>1076</v>
      </c>
      <c r="F15" s="26">
        <f t="shared" si="0"/>
        <v>1.3413912450908309E-2</v>
      </c>
      <c r="G15" s="26">
        <f t="shared" si="1"/>
        <v>5.0228310502283104E-3</v>
      </c>
    </row>
    <row r="16" spans="1:12" x14ac:dyDescent="0.2">
      <c r="A16" s="24">
        <f t="shared" si="2"/>
        <v>0</v>
      </c>
      <c r="B16" s="25">
        <v>112</v>
      </c>
      <c r="C16">
        <f>SUM(B$4:$B16)</f>
        <v>174</v>
      </c>
      <c r="D16">
        <f t="shared" si="3"/>
        <v>1792</v>
      </c>
      <c r="E16">
        <f>SUM($D$4:D16)</f>
        <v>2868</v>
      </c>
      <c r="F16" s="26">
        <f t="shared" si="0"/>
        <v>3.2136004160464825E-2</v>
      </c>
      <c r="G16" s="26">
        <f t="shared" si="1"/>
        <v>1.2785388127853882E-2</v>
      </c>
    </row>
    <row r="17" spans="1:7" x14ac:dyDescent="0.2">
      <c r="A17" s="24">
        <f t="shared" si="2"/>
        <v>1</v>
      </c>
      <c r="B17" s="25">
        <v>146</v>
      </c>
      <c r="C17">
        <f>SUM(B$4:$B17)</f>
        <v>320</v>
      </c>
      <c r="D17">
        <f t="shared" si="3"/>
        <v>2190</v>
      </c>
      <c r="E17">
        <f>SUM($D$4:D17)</f>
        <v>5058</v>
      </c>
      <c r="F17" s="26">
        <f t="shared" si="0"/>
        <v>3.927335329878235E-2</v>
      </c>
      <c r="G17" s="26">
        <f t="shared" si="1"/>
        <v>1.6666666666666666E-2</v>
      </c>
    </row>
    <row r="18" spans="1:7" x14ac:dyDescent="0.2">
      <c r="A18" s="24">
        <f t="shared" si="2"/>
        <v>2</v>
      </c>
      <c r="B18" s="25">
        <v>222</v>
      </c>
      <c r="C18">
        <f>SUM(B$4:$B18)</f>
        <v>542</v>
      </c>
      <c r="D18">
        <f t="shared" si="3"/>
        <v>3108</v>
      </c>
      <c r="E18">
        <f>SUM($D$4:D18)</f>
        <v>8166</v>
      </c>
      <c r="F18" s="26">
        <f>D18/$E$31</f>
        <v>5.5735882215806179E-2</v>
      </c>
      <c r="G18" s="26">
        <f t="shared" si="1"/>
        <v>2.5342465753424658E-2</v>
      </c>
    </row>
    <row r="19" spans="1:7" x14ac:dyDescent="0.2">
      <c r="A19" s="24">
        <f t="shared" si="2"/>
        <v>3</v>
      </c>
      <c r="B19" s="25">
        <v>323</v>
      </c>
      <c r="C19">
        <f>SUM(B$4:$B19)</f>
        <v>865</v>
      </c>
      <c r="D19">
        <f t="shared" si="3"/>
        <v>4199</v>
      </c>
      <c r="E19">
        <f>SUM($D$4:D19)</f>
        <v>12365</v>
      </c>
      <c r="F19" s="26">
        <f t="shared" si="0"/>
        <v>7.5300826713053465E-2</v>
      </c>
      <c r="G19" s="26">
        <f t="shared" si="1"/>
        <v>3.6872146118721458E-2</v>
      </c>
    </row>
    <row r="20" spans="1:7" x14ac:dyDescent="0.2">
      <c r="A20" s="24">
        <f t="shared" si="2"/>
        <v>4</v>
      </c>
      <c r="B20" s="25">
        <v>400</v>
      </c>
      <c r="C20">
        <f>SUM(B$4:$B20)</f>
        <v>1265</v>
      </c>
      <c r="D20">
        <f t="shared" si="3"/>
        <v>4800</v>
      </c>
      <c r="E20">
        <f>SUM($D$4:D20)</f>
        <v>17165</v>
      </c>
      <c r="F20" s="26">
        <f t="shared" si="0"/>
        <v>8.6078582572673631E-2</v>
      </c>
      <c r="G20" s="26">
        <f t="shared" si="1"/>
        <v>4.5662100456621002E-2</v>
      </c>
    </row>
    <row r="21" spans="1:7" x14ac:dyDescent="0.2">
      <c r="A21" s="24">
        <f t="shared" si="2"/>
        <v>5</v>
      </c>
      <c r="B21" s="25">
        <v>446</v>
      </c>
      <c r="C21">
        <f>SUM(B$4:$B21)</f>
        <v>1711</v>
      </c>
      <c r="D21">
        <f t="shared" si="3"/>
        <v>4906</v>
      </c>
      <c r="E21">
        <f>SUM($D$4:D21)</f>
        <v>22071</v>
      </c>
      <c r="F21" s="26">
        <f t="shared" si="0"/>
        <v>8.7979484604486846E-2</v>
      </c>
      <c r="G21" s="26">
        <f t="shared" si="1"/>
        <v>5.0913242009132421E-2</v>
      </c>
    </row>
    <row r="22" spans="1:7" x14ac:dyDescent="0.2">
      <c r="A22" s="24">
        <f t="shared" si="2"/>
        <v>6</v>
      </c>
      <c r="B22" s="25">
        <v>545</v>
      </c>
      <c r="C22">
        <f>SUM(B$4:$B22)</f>
        <v>2256</v>
      </c>
      <c r="D22">
        <f t="shared" si="3"/>
        <v>5450</v>
      </c>
      <c r="E22">
        <f>SUM($D$4:D22)</f>
        <v>27521</v>
      </c>
      <c r="F22" s="26">
        <f t="shared" si="0"/>
        <v>9.7735057296056527E-2</v>
      </c>
      <c r="G22" s="26">
        <f t="shared" si="1"/>
        <v>6.2214611872146115E-2</v>
      </c>
    </row>
    <row r="23" spans="1:7" x14ac:dyDescent="0.2">
      <c r="A23" s="24">
        <f t="shared" si="2"/>
        <v>7</v>
      </c>
      <c r="B23" s="25">
        <v>603</v>
      </c>
      <c r="C23">
        <f>SUM(B$4:$B23)</f>
        <v>2859</v>
      </c>
      <c r="D23">
        <f t="shared" si="3"/>
        <v>5427</v>
      </c>
      <c r="E23">
        <f>SUM($D$4:D23)</f>
        <v>32948</v>
      </c>
      <c r="F23" s="26">
        <f t="shared" si="0"/>
        <v>9.7322597421229132E-2</v>
      </c>
      <c r="G23" s="26">
        <f t="shared" si="1"/>
        <v>6.8835616438356159E-2</v>
      </c>
    </row>
    <row r="24" spans="1:7" x14ac:dyDescent="0.2">
      <c r="A24" s="24">
        <f t="shared" si="2"/>
        <v>8</v>
      </c>
      <c r="B24" s="25">
        <v>658</v>
      </c>
      <c r="C24">
        <f>SUM(B$4:$B24)</f>
        <v>3517</v>
      </c>
      <c r="D24">
        <f t="shared" si="3"/>
        <v>5264</v>
      </c>
      <c r="E24">
        <f>SUM($D$4:D24)</f>
        <v>38212</v>
      </c>
      <c r="F24" s="26">
        <f t="shared" si="0"/>
        <v>9.4399512221365417E-2</v>
      </c>
      <c r="G24" s="26">
        <f t="shared" si="1"/>
        <v>7.5114155251141554E-2</v>
      </c>
    </row>
    <row r="25" spans="1:7" x14ac:dyDescent="0.2">
      <c r="A25" s="24">
        <f t="shared" si="2"/>
        <v>9</v>
      </c>
      <c r="B25" s="25">
        <v>681</v>
      </c>
      <c r="C25">
        <f>SUM(B$4:$B25)</f>
        <v>4198</v>
      </c>
      <c r="D25">
        <f t="shared" si="3"/>
        <v>4767</v>
      </c>
      <c r="E25">
        <f>SUM($D$4:D25)</f>
        <v>42979</v>
      </c>
      <c r="F25" s="26">
        <f t="shared" si="0"/>
        <v>8.5486792317486501E-2</v>
      </c>
      <c r="G25" s="26">
        <f t="shared" si="1"/>
        <v>7.773972602739726E-2</v>
      </c>
    </row>
    <row r="26" spans="1:7" x14ac:dyDescent="0.2">
      <c r="A26" s="24">
        <f t="shared" si="2"/>
        <v>10</v>
      </c>
      <c r="B26" s="25">
        <v>639</v>
      </c>
      <c r="C26">
        <f>SUM(B$4:$B26)</f>
        <v>4837</v>
      </c>
      <c r="D26">
        <f t="shared" si="3"/>
        <v>3834</v>
      </c>
      <c r="E26">
        <f>SUM($D$4:D26)</f>
        <v>46813</v>
      </c>
      <c r="F26" s="26">
        <f t="shared" si="0"/>
        <v>6.875526782992307E-2</v>
      </c>
      <c r="G26" s="26">
        <f t="shared" si="1"/>
        <v>7.294520547945206E-2</v>
      </c>
    </row>
    <row r="27" spans="1:7" x14ac:dyDescent="0.2">
      <c r="A27" s="24">
        <f t="shared" si="2"/>
        <v>11</v>
      </c>
      <c r="B27" s="25">
        <v>660</v>
      </c>
      <c r="C27">
        <f>SUM(B$4:$B27)</f>
        <v>5497</v>
      </c>
      <c r="D27">
        <f t="shared" si="3"/>
        <v>3300</v>
      </c>
      <c r="E27">
        <f>SUM($D$4:D27)</f>
        <v>50113</v>
      </c>
      <c r="F27" s="26">
        <f t="shared" si="0"/>
        <v>5.9179025518713124E-2</v>
      </c>
      <c r="G27" s="26">
        <f t="shared" si="1"/>
        <v>7.5342465753424653E-2</v>
      </c>
    </row>
    <row r="28" spans="1:7" x14ac:dyDescent="0.2">
      <c r="A28" s="24">
        <f t="shared" si="2"/>
        <v>12</v>
      </c>
      <c r="B28" s="25">
        <v>610</v>
      </c>
      <c r="C28">
        <f>SUM(B$4:$B28)</f>
        <v>6107</v>
      </c>
      <c r="D28">
        <f t="shared" si="3"/>
        <v>2440</v>
      </c>
      <c r="E28">
        <f>SUM($D$4:D28)</f>
        <v>52553</v>
      </c>
      <c r="F28" s="26">
        <f t="shared" si="0"/>
        <v>4.3756612807775763E-2</v>
      </c>
      <c r="G28" s="26">
        <f t="shared" si="1"/>
        <v>6.9634703196347028E-2</v>
      </c>
    </row>
    <row r="29" spans="1:7" x14ac:dyDescent="0.2">
      <c r="A29" s="24">
        <f t="shared" si="2"/>
        <v>13</v>
      </c>
      <c r="B29" s="25">
        <v>582</v>
      </c>
      <c r="C29">
        <f>SUM(B$4:$B29)</f>
        <v>6689</v>
      </c>
      <c r="D29">
        <f t="shared" si="3"/>
        <v>1746</v>
      </c>
      <c r="E29">
        <f>SUM($D$4:D29)</f>
        <v>54299</v>
      </c>
      <c r="F29" s="26">
        <f t="shared" si="0"/>
        <v>3.1311084410810035E-2</v>
      </c>
      <c r="G29" s="26">
        <f t="shared" si="1"/>
        <v>6.6438356164383566E-2</v>
      </c>
    </row>
    <row r="30" spans="1:7" x14ac:dyDescent="0.2">
      <c r="A30" s="24">
        <f t="shared" si="2"/>
        <v>14</v>
      </c>
      <c r="B30" s="25">
        <v>481</v>
      </c>
      <c r="C30">
        <f>SUM(B$4:$B30)</f>
        <v>7170</v>
      </c>
      <c r="D30">
        <f t="shared" si="3"/>
        <v>962</v>
      </c>
      <c r="E30">
        <f>SUM($D$4:D30)</f>
        <v>55261</v>
      </c>
      <c r="F30" s="26">
        <f t="shared" si="0"/>
        <v>1.7251582590606676E-2</v>
      </c>
      <c r="G30" s="26">
        <f t="shared" si="1"/>
        <v>5.4908675799086759E-2</v>
      </c>
    </row>
    <row r="31" spans="1:7" x14ac:dyDescent="0.2">
      <c r="A31" s="24">
        <f t="shared" si="2"/>
        <v>15</v>
      </c>
      <c r="B31" s="25">
        <v>502</v>
      </c>
      <c r="C31">
        <f>SUM(B$4:$B31)</f>
        <v>7672</v>
      </c>
      <c r="D31">
        <f t="shared" si="3"/>
        <v>502</v>
      </c>
      <c r="E31">
        <f>SUM($D$4:D31)</f>
        <v>55763</v>
      </c>
      <c r="F31" s="26">
        <f t="shared" si="0"/>
        <v>9.002385094058785E-3</v>
      </c>
      <c r="G31" s="26">
        <f t="shared" si="1"/>
        <v>5.7305936073059359E-2</v>
      </c>
    </row>
    <row r="32" spans="1:7" x14ac:dyDescent="0.2">
      <c r="A32" s="24">
        <f t="shared" si="2"/>
        <v>16</v>
      </c>
      <c r="B32" s="25">
        <v>383</v>
      </c>
      <c r="C32">
        <f>SUM(B$4:$B32)</f>
        <v>8055</v>
      </c>
      <c r="D32">
        <f t="shared" si="3"/>
        <v>0</v>
      </c>
      <c r="G32" s="26">
        <f t="shared" si="1"/>
        <v>4.3721461187214615E-2</v>
      </c>
    </row>
    <row r="33" spans="1:7" x14ac:dyDescent="0.2">
      <c r="A33" s="24">
        <f t="shared" si="2"/>
        <v>17</v>
      </c>
      <c r="B33" s="25">
        <v>259</v>
      </c>
      <c r="C33">
        <f>SUM(B$4:$B33)</f>
        <v>8314</v>
      </c>
      <c r="G33" s="26">
        <f t="shared" si="1"/>
        <v>2.9566210045662102E-2</v>
      </c>
    </row>
    <row r="34" spans="1:7" x14ac:dyDescent="0.2">
      <c r="A34" s="24">
        <f t="shared" si="2"/>
        <v>18</v>
      </c>
      <c r="B34" s="25">
        <v>170</v>
      </c>
      <c r="C34">
        <f>SUM(B$4:$B34)</f>
        <v>8484</v>
      </c>
      <c r="G34" s="26">
        <f t="shared" si="1"/>
        <v>1.9406392694063926E-2</v>
      </c>
    </row>
    <row r="35" spans="1:7" x14ac:dyDescent="0.2">
      <c r="A35" s="24">
        <f t="shared" si="2"/>
        <v>19</v>
      </c>
      <c r="B35" s="25">
        <v>112</v>
      </c>
      <c r="C35">
        <f>SUM(B$4:$B35)</f>
        <v>8596</v>
      </c>
      <c r="G35" s="26">
        <f t="shared" si="1"/>
        <v>1.2785388127853882E-2</v>
      </c>
    </row>
    <row r="36" spans="1:7" x14ac:dyDescent="0.2">
      <c r="A36" s="24">
        <f t="shared" si="2"/>
        <v>20</v>
      </c>
      <c r="B36" s="25">
        <v>67</v>
      </c>
      <c r="C36">
        <f>SUM(B$4:$B36)</f>
        <v>8663</v>
      </c>
      <c r="G36" s="26">
        <f t="shared" ref="G36:G52" si="4">B36/8760</f>
        <v>7.6484018264840184E-3</v>
      </c>
    </row>
    <row r="37" spans="1:7" x14ac:dyDescent="0.2">
      <c r="A37" s="24">
        <f t="shared" si="2"/>
        <v>21</v>
      </c>
      <c r="B37" s="25">
        <v>37</v>
      </c>
      <c r="C37">
        <f>SUM(B$4:$B37)</f>
        <v>8700</v>
      </c>
      <c r="G37" s="26">
        <f t="shared" si="4"/>
        <v>4.2237442922374432E-3</v>
      </c>
    </row>
    <row r="38" spans="1:7" x14ac:dyDescent="0.2">
      <c r="A38" s="24">
        <f t="shared" si="2"/>
        <v>22</v>
      </c>
      <c r="B38" s="25">
        <v>27</v>
      </c>
      <c r="C38">
        <f>SUM(B$4:$B38)</f>
        <v>8727</v>
      </c>
      <c r="G38" s="26">
        <f t="shared" si="4"/>
        <v>3.0821917808219177E-3</v>
      </c>
    </row>
    <row r="39" spans="1:7" x14ac:dyDescent="0.2">
      <c r="A39" s="24">
        <f t="shared" si="2"/>
        <v>23</v>
      </c>
      <c r="B39" s="25">
        <v>20</v>
      </c>
      <c r="C39">
        <f>SUM(B$4:$B39)</f>
        <v>8747</v>
      </c>
      <c r="G39" s="26">
        <f t="shared" si="4"/>
        <v>2.2831050228310501E-3</v>
      </c>
    </row>
    <row r="40" spans="1:7" x14ac:dyDescent="0.2">
      <c r="A40" s="24">
        <f t="shared" si="2"/>
        <v>24</v>
      </c>
      <c r="B40" s="25">
        <v>13</v>
      </c>
      <c r="C40">
        <f>SUM(B$4:$B40)</f>
        <v>8760</v>
      </c>
      <c r="G40" s="26">
        <f t="shared" si="4"/>
        <v>1.4840182648401827E-3</v>
      </c>
    </row>
    <row r="41" spans="1:7" x14ac:dyDescent="0.2">
      <c r="A41" s="24">
        <f t="shared" si="2"/>
        <v>25</v>
      </c>
      <c r="B41" s="25">
        <v>0</v>
      </c>
      <c r="C41">
        <f>SUM(B$4:$B41)</f>
        <v>8760</v>
      </c>
      <c r="G41" s="26">
        <f t="shared" si="4"/>
        <v>0</v>
      </c>
    </row>
    <row r="42" spans="1:7" x14ac:dyDescent="0.2">
      <c r="A42" s="24">
        <f t="shared" si="2"/>
        <v>26</v>
      </c>
      <c r="B42" s="25">
        <v>0</v>
      </c>
      <c r="C42">
        <f>SUM(B$4:$B42)</f>
        <v>8760</v>
      </c>
      <c r="G42" s="26">
        <f t="shared" si="4"/>
        <v>0</v>
      </c>
    </row>
    <row r="43" spans="1:7" x14ac:dyDescent="0.2">
      <c r="A43" s="24">
        <f t="shared" si="2"/>
        <v>27</v>
      </c>
      <c r="B43" s="25">
        <v>0</v>
      </c>
      <c r="C43">
        <f>SUM(B$4:$B43)</f>
        <v>8760</v>
      </c>
      <c r="G43" s="26">
        <f t="shared" si="4"/>
        <v>0</v>
      </c>
    </row>
    <row r="44" spans="1:7" x14ac:dyDescent="0.2">
      <c r="A44" s="24">
        <f t="shared" si="2"/>
        <v>28</v>
      </c>
      <c r="B44" s="25">
        <v>0</v>
      </c>
      <c r="C44">
        <f>SUM(B$4:$B44)</f>
        <v>8760</v>
      </c>
      <c r="G44" s="26">
        <f t="shared" si="4"/>
        <v>0</v>
      </c>
    </row>
    <row r="45" spans="1:7" x14ac:dyDescent="0.2">
      <c r="A45" s="24">
        <f t="shared" si="2"/>
        <v>29</v>
      </c>
      <c r="B45" s="25">
        <v>0</v>
      </c>
      <c r="C45">
        <f>SUM(B$4:$B45)</f>
        <v>8760</v>
      </c>
      <c r="G45" s="26">
        <f t="shared" si="4"/>
        <v>0</v>
      </c>
    </row>
    <row r="46" spans="1:7" x14ac:dyDescent="0.2">
      <c r="A46" s="24">
        <f t="shared" si="2"/>
        <v>30</v>
      </c>
      <c r="B46" s="25">
        <v>0</v>
      </c>
      <c r="C46">
        <f>SUM(B$4:$B46)</f>
        <v>8760</v>
      </c>
      <c r="G46" s="26">
        <f t="shared" si="4"/>
        <v>0</v>
      </c>
    </row>
    <row r="47" spans="1:7" x14ac:dyDescent="0.2">
      <c r="A47" s="24">
        <f t="shared" si="2"/>
        <v>31</v>
      </c>
      <c r="B47" s="25">
        <v>0</v>
      </c>
      <c r="C47">
        <f>SUM(B$4:$B47)</f>
        <v>8760</v>
      </c>
      <c r="G47" s="26">
        <f t="shared" si="4"/>
        <v>0</v>
      </c>
    </row>
    <row r="48" spans="1:7" x14ac:dyDescent="0.2">
      <c r="A48" s="24">
        <f t="shared" si="2"/>
        <v>32</v>
      </c>
      <c r="B48" s="25">
        <v>0</v>
      </c>
      <c r="C48">
        <f>SUM(B$4:$B48)</f>
        <v>8760</v>
      </c>
      <c r="G48" s="26">
        <f t="shared" si="4"/>
        <v>0</v>
      </c>
    </row>
    <row r="49" spans="1:7" x14ac:dyDescent="0.2">
      <c r="A49" s="24">
        <f t="shared" si="2"/>
        <v>33</v>
      </c>
      <c r="B49" s="25">
        <v>0</v>
      </c>
      <c r="C49">
        <f>SUM(B$4:$B49)</f>
        <v>8760</v>
      </c>
      <c r="G49" s="26">
        <f t="shared" si="4"/>
        <v>0</v>
      </c>
    </row>
    <row r="50" spans="1:7" x14ac:dyDescent="0.2">
      <c r="A50" s="24">
        <f t="shared" si="2"/>
        <v>34</v>
      </c>
      <c r="B50" s="25">
        <v>0</v>
      </c>
      <c r="C50">
        <f>SUM(B$4:$B50)</f>
        <v>8760</v>
      </c>
      <c r="G50" s="26">
        <f t="shared" si="4"/>
        <v>0</v>
      </c>
    </row>
    <row r="51" spans="1:7" x14ac:dyDescent="0.2">
      <c r="A51" s="24">
        <f t="shared" si="2"/>
        <v>35</v>
      </c>
      <c r="B51" s="25">
        <v>0</v>
      </c>
      <c r="C51">
        <f>SUM(B$4:$B51)</f>
        <v>8760</v>
      </c>
      <c r="G51" s="26">
        <f t="shared" si="4"/>
        <v>0</v>
      </c>
    </row>
    <row r="52" spans="1:7" x14ac:dyDescent="0.2">
      <c r="G52" s="26">
        <f t="shared" si="4"/>
        <v>0</v>
      </c>
    </row>
  </sheetData>
  <sheetProtection password="FEDB" sheet="1" objects="1" scenarios="1"/>
  <phoneticPr fontId="3"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I_x0020_Category xmlns="62d0f5f7-4ea2-44d7-9808-6a73970d8954">Methodology / Tools</SEI_x0020_Category>
    <EPBD_x0020_Category xmlns="a13140cf-da77-4c05-8d38-8925de599891">Domestic</EPBD_x0020_Category>
  </documentManagement>
</p:properties>
</file>

<file path=customXml/item3.xml><?xml version="1.0" encoding="utf-8"?>
<ct:contentTypeSchema xmlns:ct="http://schemas.microsoft.com/office/2006/metadata/contentType" xmlns:ma="http://schemas.microsoft.com/office/2006/metadata/properties/metaAttributes" ct:_="" ma:_="" ma:contentTypeName="Excel Document" ma:contentTypeID="0x010100A11A356F56E51C469A70082E5A3712C200A2BED1666474644DA7183D632C1D8BC0" ma:contentTypeVersion="4" ma:contentTypeDescription="" ma:contentTypeScope="" ma:versionID="b994668e2a31bcf25bda010a693f0a45">
  <xsd:schema xmlns:xsd="http://www.w3.org/2001/XMLSchema" xmlns:xs="http://www.w3.org/2001/XMLSchema" xmlns:p="http://schemas.microsoft.com/office/2006/metadata/properties" xmlns:ns2="62d0f5f7-4ea2-44d7-9808-6a73970d8954" xmlns:ns3="a13140cf-da77-4c05-8d38-8925de599891" targetNamespace="http://schemas.microsoft.com/office/2006/metadata/properties" ma:root="true" ma:fieldsID="a45ecc7db6df87706b4dbcff1c0c2520" ns2:_="" ns3:_="">
    <xsd:import namespace="62d0f5f7-4ea2-44d7-9808-6a73970d8954"/>
    <xsd:import namespace="a13140cf-da77-4c05-8d38-8925de599891"/>
    <xsd:element name="properties">
      <xsd:complexType>
        <xsd:sequence>
          <xsd:element name="documentManagement">
            <xsd:complexType>
              <xsd:all>
                <xsd:element ref="ns2:SEI_x0020_Category"/>
                <xsd:element ref="ns3:EPBD_x0020_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d0f5f7-4ea2-44d7-9808-6a73970d8954" elementFormDefault="qualified">
    <xsd:import namespace="http://schemas.microsoft.com/office/2006/documentManagement/types"/>
    <xsd:import namespace="http://schemas.microsoft.com/office/infopath/2007/PartnerControls"/>
    <xsd:element name="SEI_x0020_Category" ma:index="8" ma:displayName="SEAI Category" ma:default="Strategy / Compliments" ma:format="Dropdown" ma:internalName="SEI_x0020_Category">
      <xsd:simpleType>
        <xsd:restriction base="dms:Choice">
          <xsd:enumeration value="Strategy / Compliments"/>
          <xsd:enumeration value="Finance"/>
          <xsd:enumeration value="Plan &amp; Reporting"/>
          <xsd:enumeration value="Legal"/>
          <xsd:enumeration value="Internal Admin"/>
          <xsd:enumeration value="Methodology / Tools"/>
          <xsd:enumeration value="Systems"/>
          <xsd:enumeration value="QA"/>
          <xsd:enumeration value="Qualification &amp; Registration"/>
        </xsd:restriction>
      </xsd:simpleType>
    </xsd:element>
  </xsd:schema>
  <xsd:schema xmlns:xsd="http://www.w3.org/2001/XMLSchema" xmlns:xs="http://www.w3.org/2001/XMLSchema" xmlns:dms="http://schemas.microsoft.com/office/2006/documentManagement/types" xmlns:pc="http://schemas.microsoft.com/office/infopath/2007/PartnerControls" targetNamespace="a13140cf-da77-4c05-8d38-8925de599891" elementFormDefault="qualified">
    <xsd:import namespace="http://schemas.microsoft.com/office/2006/documentManagement/types"/>
    <xsd:import namespace="http://schemas.microsoft.com/office/infopath/2007/PartnerControls"/>
    <xsd:element name="EPBD_x0020_Category" ma:index="9" nillable="true" ma:displayName="EPBD Category" ma:default="Domestic" ma:format="Dropdown" ma:internalName="EPBD_x0020_Category">
      <xsd:simpleType>
        <xsd:restriction base="dms:Choice">
          <xsd:enumeration value="Domestic"/>
          <xsd:enumeration value="Non Domestic"/>
          <xsd:enumeration value="DEC"/>
          <xsd:enumeration value="EPB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F97E75-21A2-4C80-B0C0-D7586A1E2C7A}">
  <ds:schemaRefs>
    <ds:schemaRef ds:uri="http://schemas.microsoft.com/sharepoint/v3/contenttype/forms"/>
  </ds:schemaRefs>
</ds:datastoreItem>
</file>

<file path=customXml/itemProps2.xml><?xml version="1.0" encoding="utf-8"?>
<ds:datastoreItem xmlns:ds="http://schemas.openxmlformats.org/officeDocument/2006/customXml" ds:itemID="{E3FA0AFA-F964-4016-B361-7AAD74E05833}">
  <ds:schemaRefs>
    <ds:schemaRef ds:uri="http://schemas.microsoft.com/office/2006/metadata/properties"/>
    <ds:schemaRef ds:uri="http://purl.org/dc/terms/"/>
    <ds:schemaRef ds:uri="a13140cf-da77-4c05-8d38-8925de599891"/>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62d0f5f7-4ea2-44d7-9808-6a73970d8954"/>
    <ds:schemaRef ds:uri="http://www.w3.org/XML/1998/namespace"/>
    <ds:schemaRef ds:uri="http://purl.org/dc/dcmitype/"/>
  </ds:schemaRefs>
</ds:datastoreItem>
</file>

<file path=customXml/itemProps3.xml><?xml version="1.0" encoding="utf-8"?>
<ds:datastoreItem xmlns:ds="http://schemas.openxmlformats.org/officeDocument/2006/customXml" ds:itemID="{1CB3A251-57A2-41D5-B453-2CAE7FEBC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d0f5f7-4ea2-44d7-9808-6a73970d8954"/>
    <ds:schemaRef ds:uri="a13140cf-da77-4c05-8d38-8925de599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Input Sheet</vt:lpstr>
      <vt:lpstr>Heating Calc</vt:lpstr>
      <vt:lpstr>DHW Calc</vt:lpstr>
      <vt:lpstr>Meteorological data</vt:lpstr>
    </vt:vector>
  </TitlesOfParts>
  <Company>SES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Heat Pump Tool for DEAP 2016</dc:title>
  <dc:creator>Orla Coyle</dc:creator>
  <cp:lastModifiedBy>Stephen Browne</cp:lastModifiedBy>
  <cp:lastPrinted>2016-11-23T15:16:40Z</cp:lastPrinted>
  <dcterms:created xsi:type="dcterms:W3CDTF">2015-09-27T08:56:42Z</dcterms:created>
  <dcterms:modified xsi:type="dcterms:W3CDTF">2019-07-09T10:36:10Z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0x010100A11A356F56E51C469A70082E5A3712C200A2BED1666474644DA7183D632C1D8BC0</vt:lpwstr>
  </property>
</Properties>
</file>